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Budget Services\17-18 Budget Services\Trial Court Alloc_Distbn\Distributions\"/>
    </mc:Choice>
  </mc:AlternateContent>
  <bookViews>
    <workbookView xWindow="0" yWindow="0" windowWidth="19200" windowHeight="6015" tabRatio="672" firstSheet="5" activeTab="7"/>
  </bookViews>
  <sheets>
    <sheet name="A- Summary" sheetId="120" r:id="rId1"/>
    <sheet name="B - Allocation by GL" sheetId="129" r:id="rId2"/>
    <sheet name="C  - Beginning Base" sheetId="121" r:id="rId3"/>
    <sheet name="D - Benefits" sheetId="122" r:id="rId4"/>
    <sheet name="E -  Criminal Justice Alloc" sheetId="128" r:id="rId5"/>
    <sheet name="F - FY 17-18 Alloc and Realloc" sheetId="119" r:id="rId6"/>
    <sheet name="G -  Preliminary 1% Reduction" sheetId="130" r:id="rId7"/>
    <sheet name="H -  $22M in new CAC Funding" sheetId="131" r:id="rId8"/>
    <sheet name="WAFM Adjustments" sheetId="67" state="hidden" r:id="rId9"/>
    <sheet name="WAFM Analysis" sheetId="97" state="hidden" r:id="rId10"/>
    <sheet name="Average RAS salary" sheetId="80" state="hidden" r:id="rId11"/>
    <sheet name="Hard and variable floor" sheetId="74" state="hidden" r:id="rId12"/>
    <sheet name="9I FY 16-17 Alloc and Realloc" sheetId="109" state="hidden" r:id="rId13"/>
    <sheet name="9J 16-17 WAFM alloc" sheetId="91" state="hidden" r:id="rId14"/>
    <sheet name="9K Floor 16-17" sheetId="90" state="hidden" r:id="rId15"/>
    <sheet name="9L floor adjustment 16-17" sheetId="92" state="hidden"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_Qtr1" localSheetId="12">#REF!</definedName>
    <definedName name="__Qtr1" localSheetId="13">#REF!</definedName>
    <definedName name="__Qtr1" localSheetId="14">#REF!</definedName>
    <definedName name="__Qtr1" localSheetId="15">#REF!</definedName>
    <definedName name="__Qtr1" localSheetId="0">#REF!</definedName>
    <definedName name="__Qtr1" localSheetId="1">#REF!</definedName>
    <definedName name="__Qtr1" localSheetId="2">#REF!</definedName>
    <definedName name="__Qtr1" localSheetId="3">#REF!</definedName>
    <definedName name="__Qtr1" localSheetId="11">#REF!</definedName>
    <definedName name="__Qtr1" localSheetId="9">#REF!</definedName>
    <definedName name="__Qtr1">#REF!</definedName>
    <definedName name="__Qtr2" localSheetId="12">#REF!</definedName>
    <definedName name="__Qtr2" localSheetId="13">#REF!</definedName>
    <definedName name="__Qtr2" localSheetId="14">#REF!</definedName>
    <definedName name="__Qtr2" localSheetId="15">#REF!</definedName>
    <definedName name="__Qtr2" localSheetId="0">#REF!</definedName>
    <definedName name="__Qtr2" localSheetId="1">#REF!</definedName>
    <definedName name="__Qtr2" localSheetId="2">#REF!</definedName>
    <definedName name="__Qtr2" localSheetId="3">#REF!</definedName>
    <definedName name="__Qtr2" localSheetId="11">#REF!</definedName>
    <definedName name="__Qtr2" localSheetId="9">#REF!</definedName>
    <definedName name="__Qtr2">#REF!</definedName>
    <definedName name="__Qtr3" localSheetId="12">#REF!</definedName>
    <definedName name="__Qtr3" localSheetId="13">#REF!</definedName>
    <definedName name="__Qtr3" localSheetId="14">#REF!</definedName>
    <definedName name="__Qtr3" localSheetId="15">#REF!</definedName>
    <definedName name="__Qtr3" localSheetId="0">#REF!</definedName>
    <definedName name="__Qtr3" localSheetId="1">#REF!</definedName>
    <definedName name="__Qtr3" localSheetId="2">#REF!</definedName>
    <definedName name="__Qtr3" localSheetId="3">#REF!</definedName>
    <definedName name="__Qtr3" localSheetId="11">#REF!</definedName>
    <definedName name="__Qtr3" localSheetId="9">#REF!</definedName>
    <definedName name="__Qtr3">#REF!</definedName>
    <definedName name="__Qtr4" localSheetId="12">#REF!</definedName>
    <definedName name="__Qtr4" localSheetId="13">#REF!</definedName>
    <definedName name="__Qtr4" localSheetId="14">#REF!</definedName>
    <definedName name="__Qtr4" localSheetId="15">#REF!</definedName>
    <definedName name="__Qtr4" localSheetId="0">#REF!</definedName>
    <definedName name="__Qtr4" localSheetId="1">#REF!</definedName>
    <definedName name="__Qtr4" localSheetId="2">#REF!</definedName>
    <definedName name="__Qtr4" localSheetId="3">#REF!</definedName>
    <definedName name="__Qtr4" localSheetId="9">#REF!</definedName>
    <definedName name="__Qtr4">#REF!</definedName>
    <definedName name="_xlnm._FilterDatabase" localSheetId="0" hidden="1">'A- Summary'!$A$6:$L$66</definedName>
    <definedName name="_xlnm._FilterDatabase" localSheetId="1" hidden="1">'B - Allocation by GL'!$A$5:$O$65</definedName>
    <definedName name="_Qtr1" localSheetId="12">#REF!</definedName>
    <definedName name="_Qtr1" localSheetId="13">#REF!</definedName>
    <definedName name="_Qtr1" localSheetId="14">#REF!</definedName>
    <definedName name="_Qtr1" localSheetId="15">#REF!</definedName>
    <definedName name="_Qtr1" localSheetId="0">#REF!</definedName>
    <definedName name="_Qtr1" localSheetId="1">#REF!</definedName>
    <definedName name="_Qtr1" localSheetId="2">#REF!</definedName>
    <definedName name="_Qtr1" localSheetId="3">#REF!</definedName>
    <definedName name="_Qtr1" localSheetId="9">#REF!</definedName>
    <definedName name="_Qtr1">#REF!</definedName>
    <definedName name="_Qtr2" localSheetId="12">#REF!</definedName>
    <definedName name="_Qtr2" localSheetId="13">#REF!</definedName>
    <definedName name="_Qtr2" localSheetId="14">#REF!</definedName>
    <definedName name="_Qtr2" localSheetId="15">#REF!</definedName>
    <definedName name="_Qtr2" localSheetId="0">#REF!</definedName>
    <definedName name="_Qtr2" localSheetId="1">#REF!</definedName>
    <definedName name="_Qtr2" localSheetId="2">#REF!</definedName>
    <definedName name="_Qtr2" localSheetId="3">#REF!</definedName>
    <definedName name="_Qtr2" localSheetId="9">#REF!</definedName>
    <definedName name="_Qtr2">#REF!</definedName>
    <definedName name="_Qtr3" localSheetId="12">#REF!</definedName>
    <definedName name="_Qtr3" localSheetId="13">#REF!</definedName>
    <definedName name="_Qtr3" localSheetId="14">#REF!</definedName>
    <definedName name="_Qtr3" localSheetId="15">#REF!</definedName>
    <definedName name="_Qtr3" localSheetId="0">#REF!</definedName>
    <definedName name="_Qtr3" localSheetId="1">#REF!</definedName>
    <definedName name="_Qtr3" localSheetId="2">#REF!</definedName>
    <definedName name="_Qtr3" localSheetId="3">#REF!</definedName>
    <definedName name="_Qtr3" localSheetId="9">#REF!</definedName>
    <definedName name="_Qtr3">#REF!</definedName>
    <definedName name="_Qtr4" localSheetId="12">#REF!</definedName>
    <definedName name="_Qtr4" localSheetId="13">#REF!</definedName>
    <definedName name="_Qtr4" localSheetId="14">#REF!</definedName>
    <definedName name="_Qtr4" localSheetId="15">#REF!</definedName>
    <definedName name="_Qtr4" localSheetId="0">#REF!</definedName>
    <definedName name="_Qtr4" localSheetId="1">#REF!</definedName>
    <definedName name="_Qtr4" localSheetId="2">#REF!</definedName>
    <definedName name="_Qtr4" localSheetId="3">#REF!</definedName>
    <definedName name="_Qtr4" localSheetId="9">#REF!</definedName>
    <definedName name="_Qtr4">#REF!</definedName>
    <definedName name="a" localSheetId="12">#REF!</definedName>
    <definedName name="a" localSheetId="13">#REF!</definedName>
    <definedName name="a" localSheetId="14">#REF!</definedName>
    <definedName name="a" localSheetId="15">#REF!</definedName>
    <definedName name="a" localSheetId="0">#REF!</definedName>
    <definedName name="a" localSheetId="1">#REF!</definedName>
    <definedName name="a" localSheetId="2">#REF!</definedName>
    <definedName name="a" localSheetId="3">#REF!</definedName>
    <definedName name="a" localSheetId="9">#REF!</definedName>
    <definedName name="a">#REF!</definedName>
    <definedName name="ACCOUNTEDPERIODTYPE1" localSheetId="12">#REF!</definedName>
    <definedName name="ACCOUNTEDPERIODTYPE1" localSheetId="13">#REF!</definedName>
    <definedName name="ACCOUNTEDPERIODTYPE1" localSheetId="14">#REF!</definedName>
    <definedName name="ACCOUNTEDPERIODTYPE1" localSheetId="15">#REF!</definedName>
    <definedName name="ACCOUNTEDPERIODTYPE1" localSheetId="0">#REF!</definedName>
    <definedName name="ACCOUNTEDPERIODTYPE1" localSheetId="1">#REF!</definedName>
    <definedName name="ACCOUNTEDPERIODTYPE1" localSheetId="2">#REF!</definedName>
    <definedName name="ACCOUNTEDPERIODTYPE1" localSheetId="3">#REF!</definedName>
    <definedName name="ACCOUNTEDPERIODTYPE1" localSheetId="9">#REF!</definedName>
    <definedName name="ACCOUNTEDPERIODTYPE1">#REF!</definedName>
    <definedName name="ACCOUNTSEGMENT1" localSheetId="12">#REF!</definedName>
    <definedName name="ACCOUNTSEGMENT1" localSheetId="13">#REF!</definedName>
    <definedName name="ACCOUNTSEGMENT1" localSheetId="14">#REF!</definedName>
    <definedName name="ACCOUNTSEGMENT1" localSheetId="15">#REF!</definedName>
    <definedName name="ACCOUNTSEGMENT1" localSheetId="0">#REF!</definedName>
    <definedName name="ACCOUNTSEGMENT1" localSheetId="1">#REF!</definedName>
    <definedName name="ACCOUNTSEGMENT1" localSheetId="2">#REF!</definedName>
    <definedName name="ACCOUNTSEGMENT1" localSheetId="3">#REF!</definedName>
    <definedName name="ACCOUNTSEGMENT1" localSheetId="9">#REF!</definedName>
    <definedName name="ACCOUNTSEGMENT1">#REF!</definedName>
    <definedName name="APPSUSERNAME1" localSheetId="12">#REF!</definedName>
    <definedName name="APPSUSERNAME1" localSheetId="13">#REF!</definedName>
    <definedName name="APPSUSERNAME1" localSheetId="14">#REF!</definedName>
    <definedName name="APPSUSERNAME1" localSheetId="15">#REF!</definedName>
    <definedName name="APPSUSERNAME1" localSheetId="0">#REF!</definedName>
    <definedName name="APPSUSERNAME1" localSheetId="1">#REF!</definedName>
    <definedName name="APPSUSERNAME1" localSheetId="2">#REF!</definedName>
    <definedName name="APPSUSERNAME1" localSheetId="3">#REF!</definedName>
    <definedName name="APPSUSERNAME1" localSheetId="9">#REF!</definedName>
    <definedName name="APPSUSERNAME1">#REF!</definedName>
    <definedName name="base_fee_adjustment" localSheetId="12">#REF!</definedName>
    <definedName name="base_fee_adjustment" localSheetId="13">#REF!</definedName>
    <definedName name="base_fee_adjustment" localSheetId="14">#REF!</definedName>
    <definedName name="base_fee_adjustment" localSheetId="15">#REF!</definedName>
    <definedName name="base_fee_adjustment" localSheetId="0">#REF!</definedName>
    <definedName name="base_fee_adjustment" localSheetId="1">#REF!</definedName>
    <definedName name="base_fee_adjustment" localSheetId="2">#REF!</definedName>
    <definedName name="base_fee_adjustment" localSheetId="3">#REF!</definedName>
    <definedName name="base_fee_adjustment" localSheetId="9">#REF!</definedName>
    <definedName name="base_fee_adjustment">#REF!</definedName>
    <definedName name="BUDGETCURRENCYCODE1" localSheetId="12">#REF!</definedName>
    <definedName name="BUDGETCURRENCYCODE1" localSheetId="13">#REF!</definedName>
    <definedName name="BUDGETCURRENCYCODE1" localSheetId="14">#REF!</definedName>
    <definedName name="BUDGETCURRENCYCODE1" localSheetId="15">#REF!</definedName>
    <definedName name="BUDGETCURRENCYCODE1" localSheetId="0">#REF!</definedName>
    <definedName name="BUDGETCURRENCYCODE1" localSheetId="1">#REF!</definedName>
    <definedName name="BUDGETCURRENCYCODE1" localSheetId="2">#REF!</definedName>
    <definedName name="BUDGETCURRENCYCODE1" localSheetId="3">#REF!</definedName>
    <definedName name="BUDGETCURRENCYCODE1" localSheetId="9">#REF!</definedName>
    <definedName name="BUDGETCURRENCYCODE1">#REF!</definedName>
    <definedName name="BUDGETDECIMALPLACES1" localSheetId="12">#REF!</definedName>
    <definedName name="BUDGETDECIMALPLACES1" localSheetId="13">#REF!</definedName>
    <definedName name="BUDGETDECIMALPLACES1" localSheetId="14">#REF!</definedName>
    <definedName name="BUDGETDECIMALPLACES1" localSheetId="15">#REF!</definedName>
    <definedName name="BUDGETDECIMALPLACES1" localSheetId="0">#REF!</definedName>
    <definedName name="BUDGETDECIMALPLACES1" localSheetId="1">#REF!</definedName>
    <definedName name="BUDGETDECIMALPLACES1" localSheetId="2">#REF!</definedName>
    <definedName name="BUDGETDECIMALPLACES1" localSheetId="3">#REF!</definedName>
    <definedName name="BUDGETDECIMALPLACES1" localSheetId="9">#REF!</definedName>
    <definedName name="BUDGETDECIMALPLACES1">#REF!</definedName>
    <definedName name="BUDGETENTITYID1" localSheetId="12">#REF!</definedName>
    <definedName name="BUDGETENTITYID1" localSheetId="13">#REF!</definedName>
    <definedName name="BUDGETENTITYID1" localSheetId="14">#REF!</definedName>
    <definedName name="BUDGETENTITYID1" localSheetId="15">#REF!</definedName>
    <definedName name="BUDGETENTITYID1" localSheetId="0">#REF!</definedName>
    <definedName name="BUDGETENTITYID1" localSheetId="1">#REF!</definedName>
    <definedName name="BUDGETENTITYID1" localSheetId="2">#REF!</definedName>
    <definedName name="BUDGETENTITYID1" localSheetId="3">#REF!</definedName>
    <definedName name="BUDGETENTITYID1" localSheetId="9">#REF!</definedName>
    <definedName name="BUDGETENTITYID1">#REF!</definedName>
    <definedName name="BUDGETGRAPHCORRESPONDING1" localSheetId="12">#REF!</definedName>
    <definedName name="BUDGETGRAPHCORRESPONDING1" localSheetId="13">#REF!</definedName>
    <definedName name="BUDGETGRAPHCORRESPONDING1" localSheetId="14">#REF!</definedName>
    <definedName name="BUDGETGRAPHCORRESPONDING1" localSheetId="15">#REF!</definedName>
    <definedName name="BUDGETGRAPHCORRESPONDING1" localSheetId="0">#REF!</definedName>
    <definedName name="BUDGETGRAPHCORRESPONDING1" localSheetId="1">#REF!</definedName>
    <definedName name="BUDGETGRAPHCORRESPONDING1" localSheetId="2">#REF!</definedName>
    <definedName name="BUDGETGRAPHCORRESPONDING1" localSheetId="3">#REF!</definedName>
    <definedName name="BUDGETGRAPHCORRESPONDING1" localSheetId="9">#REF!</definedName>
    <definedName name="BUDGETGRAPHCORRESPONDING1">#REF!</definedName>
    <definedName name="BUDGETGRAPHINCACTUALS1" localSheetId="12">#REF!</definedName>
    <definedName name="BUDGETGRAPHINCACTUALS1" localSheetId="13">#REF!</definedName>
    <definedName name="BUDGETGRAPHINCACTUALS1" localSheetId="14">#REF!</definedName>
    <definedName name="BUDGETGRAPHINCACTUALS1" localSheetId="15">#REF!</definedName>
    <definedName name="BUDGETGRAPHINCACTUALS1" localSheetId="0">#REF!</definedName>
    <definedName name="BUDGETGRAPHINCACTUALS1" localSheetId="1">#REF!</definedName>
    <definedName name="BUDGETGRAPHINCACTUALS1" localSheetId="2">#REF!</definedName>
    <definedName name="BUDGETGRAPHINCACTUALS1" localSheetId="3">#REF!</definedName>
    <definedName name="BUDGETGRAPHINCACTUALS1" localSheetId="9">#REF!</definedName>
    <definedName name="BUDGETGRAPHINCACTUALS1">#REF!</definedName>
    <definedName name="BUDGETGRAPHINCBUDGETS1" localSheetId="12">#REF!</definedName>
    <definedName name="BUDGETGRAPHINCBUDGETS1" localSheetId="13">#REF!</definedName>
    <definedName name="BUDGETGRAPHINCBUDGETS1" localSheetId="14">#REF!</definedName>
    <definedName name="BUDGETGRAPHINCBUDGETS1" localSheetId="15">#REF!</definedName>
    <definedName name="BUDGETGRAPHINCBUDGETS1" localSheetId="0">#REF!</definedName>
    <definedName name="BUDGETGRAPHINCBUDGETS1" localSheetId="1">#REF!</definedName>
    <definedName name="BUDGETGRAPHINCBUDGETS1" localSheetId="2">#REF!</definedName>
    <definedName name="BUDGETGRAPHINCBUDGETS1" localSheetId="3">#REF!</definedName>
    <definedName name="BUDGETGRAPHINCBUDGETS1" localSheetId="9">#REF!</definedName>
    <definedName name="BUDGETGRAPHINCBUDGETS1">#REF!</definedName>
    <definedName name="BUDGETGRAPHINCTITLES1" localSheetId="12">#REF!</definedName>
    <definedName name="BUDGETGRAPHINCTITLES1" localSheetId="13">#REF!</definedName>
    <definedName name="BUDGETGRAPHINCTITLES1" localSheetId="14">#REF!</definedName>
    <definedName name="BUDGETGRAPHINCTITLES1" localSheetId="15">#REF!</definedName>
    <definedName name="BUDGETGRAPHINCTITLES1" localSheetId="0">#REF!</definedName>
    <definedName name="BUDGETGRAPHINCTITLES1" localSheetId="1">#REF!</definedName>
    <definedName name="BUDGETGRAPHINCTITLES1" localSheetId="2">#REF!</definedName>
    <definedName name="BUDGETGRAPHINCTITLES1" localSheetId="3">#REF!</definedName>
    <definedName name="BUDGETGRAPHINCTITLES1" localSheetId="9">#REF!</definedName>
    <definedName name="BUDGETGRAPHINCTITLES1">#REF!</definedName>
    <definedName name="BUDGETGRAPHINCVARIANCES1" localSheetId="12">#REF!</definedName>
    <definedName name="BUDGETGRAPHINCVARIANCES1" localSheetId="13">#REF!</definedName>
    <definedName name="BUDGETGRAPHINCVARIANCES1" localSheetId="14">#REF!</definedName>
    <definedName name="BUDGETGRAPHINCVARIANCES1" localSheetId="15">#REF!</definedName>
    <definedName name="BUDGETGRAPHINCVARIANCES1" localSheetId="0">#REF!</definedName>
    <definedName name="BUDGETGRAPHINCVARIANCES1" localSheetId="1">#REF!</definedName>
    <definedName name="BUDGETGRAPHINCVARIANCES1" localSheetId="2">#REF!</definedName>
    <definedName name="BUDGETGRAPHINCVARIANCES1" localSheetId="3">#REF!</definedName>
    <definedName name="BUDGETGRAPHINCVARIANCES1" localSheetId="9">#REF!</definedName>
    <definedName name="BUDGETGRAPHINCVARIANCES1">#REF!</definedName>
    <definedName name="BUDGETGRAPHSTYLE1" localSheetId="12">#REF!</definedName>
    <definedName name="BUDGETGRAPHSTYLE1" localSheetId="13">#REF!</definedName>
    <definedName name="BUDGETGRAPHSTYLE1" localSheetId="14">#REF!</definedName>
    <definedName name="BUDGETGRAPHSTYLE1" localSheetId="15">#REF!</definedName>
    <definedName name="BUDGETGRAPHSTYLE1" localSheetId="0">#REF!</definedName>
    <definedName name="BUDGETGRAPHSTYLE1" localSheetId="1">#REF!</definedName>
    <definedName name="BUDGETGRAPHSTYLE1" localSheetId="2">#REF!</definedName>
    <definedName name="BUDGETGRAPHSTYLE1" localSheetId="3">#REF!</definedName>
    <definedName name="BUDGETGRAPHSTYLE1" localSheetId="9">#REF!</definedName>
    <definedName name="BUDGETGRAPHSTYLE1">#REF!</definedName>
    <definedName name="BUDGETHEADINGSBACKCOLOUR1" localSheetId="12">#REF!</definedName>
    <definedName name="BUDGETHEADINGSBACKCOLOUR1" localSheetId="13">#REF!</definedName>
    <definedName name="BUDGETHEADINGSBACKCOLOUR1" localSheetId="14">#REF!</definedName>
    <definedName name="BUDGETHEADINGSBACKCOLOUR1" localSheetId="15">#REF!</definedName>
    <definedName name="BUDGETHEADINGSBACKCOLOUR1" localSheetId="0">#REF!</definedName>
    <definedName name="BUDGETHEADINGSBACKCOLOUR1" localSheetId="1">#REF!</definedName>
    <definedName name="BUDGETHEADINGSBACKCOLOUR1" localSheetId="2">#REF!</definedName>
    <definedName name="BUDGETHEADINGSBACKCOLOUR1" localSheetId="3">#REF!</definedName>
    <definedName name="BUDGETHEADINGSBACKCOLOUR1" localSheetId="9">#REF!</definedName>
    <definedName name="BUDGETHEADINGSBACKCOLOUR1">#REF!</definedName>
    <definedName name="BUDGETHEADINGSFORECOLOUR1" localSheetId="12">#REF!</definedName>
    <definedName name="BUDGETHEADINGSFORECOLOUR1" localSheetId="13">#REF!</definedName>
    <definedName name="BUDGETHEADINGSFORECOLOUR1" localSheetId="14">#REF!</definedName>
    <definedName name="BUDGETHEADINGSFORECOLOUR1" localSheetId="15">#REF!</definedName>
    <definedName name="BUDGETHEADINGSFORECOLOUR1" localSheetId="0">#REF!</definedName>
    <definedName name="BUDGETHEADINGSFORECOLOUR1" localSheetId="1">#REF!</definedName>
    <definedName name="BUDGETHEADINGSFORECOLOUR1" localSheetId="2">#REF!</definedName>
    <definedName name="BUDGETHEADINGSFORECOLOUR1" localSheetId="3">#REF!</definedName>
    <definedName name="BUDGETHEADINGSFORECOLOUR1" localSheetId="9">#REF!</definedName>
    <definedName name="BUDGETHEADINGSFORECOLOUR1">#REF!</definedName>
    <definedName name="BUDGETNAME1" localSheetId="12">#REF!</definedName>
    <definedName name="BUDGETNAME1" localSheetId="13">#REF!</definedName>
    <definedName name="BUDGETNAME1" localSheetId="14">#REF!</definedName>
    <definedName name="BUDGETNAME1" localSheetId="15">#REF!</definedName>
    <definedName name="BUDGETNAME1" localSheetId="0">#REF!</definedName>
    <definedName name="BUDGETNAME1" localSheetId="1">#REF!</definedName>
    <definedName name="BUDGETNAME1" localSheetId="2">#REF!</definedName>
    <definedName name="BUDGETNAME1" localSheetId="3">#REF!</definedName>
    <definedName name="BUDGETNAME1" localSheetId="9">#REF!</definedName>
    <definedName name="BUDGETNAME1">#REF!</definedName>
    <definedName name="BUDGETORG1" localSheetId="12">#REF!</definedName>
    <definedName name="BUDGETORG1" localSheetId="13">#REF!</definedName>
    <definedName name="BUDGETORG1" localSheetId="14">#REF!</definedName>
    <definedName name="BUDGETORG1" localSheetId="15">#REF!</definedName>
    <definedName name="BUDGETORG1" localSheetId="0">#REF!</definedName>
    <definedName name="BUDGETORG1" localSheetId="1">#REF!</definedName>
    <definedName name="BUDGETORG1" localSheetId="2">#REF!</definedName>
    <definedName name="BUDGETORG1" localSheetId="3">#REF!</definedName>
    <definedName name="BUDGETORG1" localSheetId="9">#REF!</definedName>
    <definedName name="BUDGETORG1">#REF!</definedName>
    <definedName name="BUDGETORGFROZEN1" localSheetId="12">#REF!</definedName>
    <definedName name="BUDGETORGFROZEN1" localSheetId="13">#REF!</definedName>
    <definedName name="BUDGETORGFROZEN1" localSheetId="14">#REF!</definedName>
    <definedName name="BUDGETORGFROZEN1" localSheetId="15">#REF!</definedName>
    <definedName name="BUDGETORGFROZEN1" localSheetId="0">#REF!</definedName>
    <definedName name="BUDGETORGFROZEN1" localSheetId="1">#REF!</definedName>
    <definedName name="BUDGETORGFROZEN1" localSheetId="2">#REF!</definedName>
    <definedName name="BUDGETORGFROZEN1" localSheetId="3">#REF!</definedName>
    <definedName name="BUDGETORGFROZEN1" localSheetId="9">#REF!</definedName>
    <definedName name="BUDGETORGFROZEN1">#REF!</definedName>
    <definedName name="BUDGETOUTPUTOPTION1" localSheetId="12">#REF!</definedName>
    <definedName name="BUDGETOUTPUTOPTION1" localSheetId="13">#REF!</definedName>
    <definedName name="BUDGETOUTPUTOPTION1" localSheetId="14">#REF!</definedName>
    <definedName name="BUDGETOUTPUTOPTION1" localSheetId="15">#REF!</definedName>
    <definedName name="BUDGETOUTPUTOPTION1" localSheetId="0">#REF!</definedName>
    <definedName name="BUDGETOUTPUTOPTION1" localSheetId="1">#REF!</definedName>
    <definedName name="BUDGETOUTPUTOPTION1" localSheetId="2">#REF!</definedName>
    <definedName name="BUDGETOUTPUTOPTION1" localSheetId="3">#REF!</definedName>
    <definedName name="BUDGETOUTPUTOPTION1" localSheetId="9">#REF!</definedName>
    <definedName name="BUDGETOUTPUTOPTION1">#REF!</definedName>
    <definedName name="BUDGETPASSWORDREQUIREDFLAG1" localSheetId="12">#REF!</definedName>
    <definedName name="BUDGETPASSWORDREQUIREDFLAG1" localSheetId="13">#REF!</definedName>
    <definedName name="BUDGETPASSWORDREQUIREDFLAG1" localSheetId="14">#REF!</definedName>
    <definedName name="BUDGETPASSWORDREQUIREDFLAG1" localSheetId="15">#REF!</definedName>
    <definedName name="BUDGETPASSWORDREQUIREDFLAG1" localSheetId="0">#REF!</definedName>
    <definedName name="BUDGETPASSWORDREQUIREDFLAG1" localSheetId="1">#REF!</definedName>
    <definedName name="BUDGETPASSWORDREQUIREDFLAG1" localSheetId="2">#REF!</definedName>
    <definedName name="BUDGETPASSWORDREQUIREDFLAG1" localSheetId="3">#REF!</definedName>
    <definedName name="BUDGETPASSWORDREQUIREDFLAG1" localSheetId="9">#REF!</definedName>
    <definedName name="BUDGETPASSWORDREQUIREDFLAG1">#REF!</definedName>
    <definedName name="BUDGETSHOWCRITERIASHEET1" localSheetId="12">#REF!</definedName>
    <definedName name="BUDGETSHOWCRITERIASHEET1" localSheetId="13">#REF!</definedName>
    <definedName name="BUDGETSHOWCRITERIASHEET1" localSheetId="14">#REF!</definedName>
    <definedName name="BUDGETSHOWCRITERIASHEET1" localSheetId="15">#REF!</definedName>
    <definedName name="BUDGETSHOWCRITERIASHEET1" localSheetId="0">#REF!</definedName>
    <definedName name="BUDGETSHOWCRITERIASHEET1" localSheetId="1">#REF!</definedName>
    <definedName name="BUDGETSHOWCRITERIASHEET1" localSheetId="2">#REF!</definedName>
    <definedName name="BUDGETSHOWCRITERIASHEET1" localSheetId="3">#REF!</definedName>
    <definedName name="BUDGETSHOWCRITERIASHEET1" localSheetId="9">#REF!</definedName>
    <definedName name="BUDGETSHOWCRITERIASHEET1">#REF!</definedName>
    <definedName name="BUDGETSTATUS1" localSheetId="12">#REF!</definedName>
    <definedName name="BUDGETSTATUS1" localSheetId="13">#REF!</definedName>
    <definedName name="BUDGETSTATUS1" localSheetId="14">#REF!</definedName>
    <definedName name="BUDGETSTATUS1" localSheetId="15">#REF!</definedName>
    <definedName name="BUDGETSTATUS1" localSheetId="0">#REF!</definedName>
    <definedName name="BUDGETSTATUS1" localSheetId="1">#REF!</definedName>
    <definedName name="BUDGETSTATUS1" localSheetId="2">#REF!</definedName>
    <definedName name="BUDGETSTATUS1" localSheetId="3">#REF!</definedName>
    <definedName name="BUDGETSTATUS1" localSheetId="9">#REF!</definedName>
    <definedName name="BUDGETSTATUS1">#REF!</definedName>
    <definedName name="BUDGETTITLEBACKCOLOUR1" localSheetId="12">#REF!</definedName>
    <definedName name="BUDGETTITLEBACKCOLOUR1" localSheetId="13">#REF!</definedName>
    <definedName name="BUDGETTITLEBACKCOLOUR1" localSheetId="14">#REF!</definedName>
    <definedName name="BUDGETTITLEBACKCOLOUR1" localSheetId="15">#REF!</definedName>
    <definedName name="BUDGETTITLEBACKCOLOUR1" localSheetId="0">#REF!</definedName>
    <definedName name="BUDGETTITLEBACKCOLOUR1" localSheetId="1">#REF!</definedName>
    <definedName name="BUDGETTITLEBACKCOLOUR1" localSheetId="2">#REF!</definedName>
    <definedName name="BUDGETTITLEBACKCOLOUR1" localSheetId="3">#REF!</definedName>
    <definedName name="BUDGETTITLEBACKCOLOUR1" localSheetId="9">#REF!</definedName>
    <definedName name="BUDGETTITLEBACKCOLOUR1">#REF!</definedName>
    <definedName name="BUDGETTITLEBORDERCOLOUR1" localSheetId="12">#REF!</definedName>
    <definedName name="BUDGETTITLEBORDERCOLOUR1" localSheetId="13">#REF!</definedName>
    <definedName name="BUDGETTITLEBORDERCOLOUR1" localSheetId="14">#REF!</definedName>
    <definedName name="BUDGETTITLEBORDERCOLOUR1" localSheetId="15">#REF!</definedName>
    <definedName name="BUDGETTITLEBORDERCOLOUR1" localSheetId="0">#REF!</definedName>
    <definedName name="BUDGETTITLEBORDERCOLOUR1" localSheetId="1">#REF!</definedName>
    <definedName name="BUDGETTITLEBORDERCOLOUR1" localSheetId="2">#REF!</definedName>
    <definedName name="BUDGETTITLEBORDERCOLOUR1" localSheetId="3">#REF!</definedName>
    <definedName name="BUDGETTITLEBORDERCOLOUR1" localSheetId="9">#REF!</definedName>
    <definedName name="BUDGETTITLEBORDERCOLOUR1">#REF!</definedName>
    <definedName name="BUDGETTITLEFORECOLOUR1" localSheetId="12">#REF!</definedName>
    <definedName name="BUDGETTITLEFORECOLOUR1" localSheetId="13">#REF!</definedName>
    <definedName name="BUDGETTITLEFORECOLOUR1" localSheetId="14">#REF!</definedName>
    <definedName name="BUDGETTITLEFORECOLOUR1" localSheetId="15">#REF!</definedName>
    <definedName name="BUDGETTITLEFORECOLOUR1" localSheetId="0">#REF!</definedName>
    <definedName name="BUDGETTITLEFORECOLOUR1" localSheetId="1">#REF!</definedName>
    <definedName name="BUDGETTITLEFORECOLOUR1" localSheetId="2">#REF!</definedName>
    <definedName name="BUDGETTITLEFORECOLOUR1" localSheetId="3">#REF!</definedName>
    <definedName name="BUDGETTITLEFORECOLOUR1" localSheetId="9">#REF!</definedName>
    <definedName name="BUDGETTITLEFORECOLOUR1">#REF!</definedName>
    <definedName name="BUDGETVALUESWIDTH1" localSheetId="12">#REF!</definedName>
    <definedName name="BUDGETVALUESWIDTH1" localSheetId="13">#REF!</definedName>
    <definedName name="BUDGETVALUESWIDTH1" localSheetId="14">#REF!</definedName>
    <definedName name="BUDGETVALUESWIDTH1" localSheetId="15">#REF!</definedName>
    <definedName name="BUDGETVALUESWIDTH1" localSheetId="0">#REF!</definedName>
    <definedName name="BUDGETVALUESWIDTH1" localSheetId="1">#REF!</definedName>
    <definedName name="BUDGETVALUESWIDTH1" localSheetId="2">#REF!</definedName>
    <definedName name="BUDGETVALUESWIDTH1" localSheetId="3">#REF!</definedName>
    <definedName name="BUDGETVALUESWIDTH1" localSheetId="9">#REF!</definedName>
    <definedName name="BUDGETVALUESWIDTH1">#REF!</definedName>
    <definedName name="BUDGETVERSIONID1" localSheetId="12">#REF!</definedName>
    <definedName name="BUDGETVERSIONID1" localSheetId="13">#REF!</definedName>
    <definedName name="BUDGETVERSIONID1" localSheetId="14">#REF!</definedName>
    <definedName name="BUDGETVERSIONID1" localSheetId="15">#REF!</definedName>
    <definedName name="BUDGETVERSIONID1" localSheetId="0">#REF!</definedName>
    <definedName name="BUDGETVERSIONID1" localSheetId="1">#REF!</definedName>
    <definedName name="BUDGETVERSIONID1" localSheetId="2">#REF!</definedName>
    <definedName name="BUDGETVERSIONID1" localSheetId="3">#REF!</definedName>
    <definedName name="BUDGETVERSIONID1" localSheetId="9">#REF!</definedName>
    <definedName name="BUDGETVERSIONID1">#REF!</definedName>
    <definedName name="ccid" localSheetId="12">[1]Instructions!#REF!</definedName>
    <definedName name="ccid" localSheetId="13">[1]Instructions!#REF!</definedName>
    <definedName name="ccid" localSheetId="14">[1]Instructions!#REF!</definedName>
    <definedName name="ccid" localSheetId="15">[1]Instructions!#REF!</definedName>
    <definedName name="ccid" localSheetId="0">[1]Instructions!#REF!</definedName>
    <definedName name="ccid" localSheetId="1">[1]Instructions!#REF!</definedName>
    <definedName name="ccid" localSheetId="2">[1]Instructions!#REF!</definedName>
    <definedName name="ccid" localSheetId="3">[1]Instructions!#REF!</definedName>
    <definedName name="ccid" localSheetId="11">[1]Instructions!#REF!</definedName>
    <definedName name="ccid" localSheetId="9">[1]Instructions!#REF!</definedName>
    <definedName name="ccid">[1]Instructions!#REF!</definedName>
    <definedName name="CHARTOFACCOUNTSID1" localSheetId="12">#REF!</definedName>
    <definedName name="CHARTOFACCOUNTSID1" localSheetId="13">#REF!</definedName>
    <definedName name="CHARTOFACCOUNTSID1" localSheetId="14">#REF!</definedName>
    <definedName name="CHARTOFACCOUNTSID1" localSheetId="15">#REF!</definedName>
    <definedName name="CHARTOFACCOUNTSID1" localSheetId="0">#REF!</definedName>
    <definedName name="CHARTOFACCOUNTSID1" localSheetId="1">#REF!</definedName>
    <definedName name="CHARTOFACCOUNTSID1" localSheetId="2">#REF!</definedName>
    <definedName name="CHARTOFACCOUNTSID1" localSheetId="3">#REF!</definedName>
    <definedName name="CHARTOFACCOUNTSID1" localSheetId="9">#REF!</definedName>
    <definedName name="CHARTOFACCOUNTSID1">#REF!</definedName>
    <definedName name="Code">'[2]Combo Box'!$D$2:$D$21</definedName>
    <definedName name="CONNECTSTRING1" localSheetId="12">#REF!</definedName>
    <definedName name="CONNECTSTRING1" localSheetId="13">#REF!</definedName>
    <definedName name="CONNECTSTRING1" localSheetId="14">#REF!</definedName>
    <definedName name="CONNECTSTRING1" localSheetId="15">#REF!</definedName>
    <definedName name="CONNECTSTRING1" localSheetId="0">#REF!</definedName>
    <definedName name="CONNECTSTRING1" localSheetId="1">#REF!</definedName>
    <definedName name="CONNECTSTRING1" localSheetId="2">#REF!</definedName>
    <definedName name="CONNECTSTRING1" localSheetId="3">#REF!</definedName>
    <definedName name="CONNECTSTRING1" localSheetId="9">#REF!</definedName>
    <definedName name="CONNECTSTRING1">#REF!</definedName>
    <definedName name="Copy_Area" localSheetId="12">#REF!</definedName>
    <definedName name="Copy_Area" localSheetId="13">#REF!</definedName>
    <definedName name="Copy_Area" localSheetId="14">#REF!</definedName>
    <definedName name="Copy_Area" localSheetId="15">#REF!</definedName>
    <definedName name="Copy_Area" localSheetId="0">#REF!</definedName>
    <definedName name="Copy_Area" localSheetId="1">#REF!</definedName>
    <definedName name="Copy_Area" localSheetId="2">#REF!</definedName>
    <definedName name="Copy_Area" localSheetId="3">#REF!</definedName>
    <definedName name="Copy_Area" localSheetId="9">#REF!</definedName>
    <definedName name="Copy_Area">#REF!</definedName>
    <definedName name="Court">'[2]Combo Box'!$B$2:$B$60</definedName>
    <definedName name="CourtList">[3]Code!$B$1:$B$59</definedName>
    <definedName name="CREATEGRAPH1" localSheetId="12">#REF!</definedName>
    <definedName name="CREATEGRAPH1" localSheetId="13">#REF!</definedName>
    <definedName name="CREATEGRAPH1" localSheetId="14">#REF!</definedName>
    <definedName name="CREATEGRAPH1" localSheetId="15">#REF!</definedName>
    <definedName name="CREATEGRAPH1" localSheetId="0">#REF!</definedName>
    <definedName name="CREATEGRAPH1" localSheetId="1">#REF!</definedName>
    <definedName name="CREATEGRAPH1" localSheetId="2">#REF!</definedName>
    <definedName name="CREATEGRAPH1" localSheetId="3">#REF!</definedName>
    <definedName name="CREATEGRAPH1" localSheetId="9">#REF!</definedName>
    <definedName name="CREATEGRAPH1">#REF!</definedName>
    <definedName name="Data" localSheetId="12">#REF!</definedName>
    <definedName name="Data" localSheetId="13">#REF!</definedName>
    <definedName name="Data" localSheetId="14">#REF!</definedName>
    <definedName name="Data" localSheetId="15">#REF!</definedName>
    <definedName name="Data" localSheetId="0">#REF!</definedName>
    <definedName name="Data" localSheetId="1">#REF!</definedName>
    <definedName name="Data" localSheetId="2">#REF!</definedName>
    <definedName name="Data" localSheetId="3">#REF!</definedName>
    <definedName name="Data" localSheetId="9">#REF!</definedName>
    <definedName name="Data">#REF!</definedName>
    <definedName name="DBNAME1" localSheetId="12">#REF!</definedName>
    <definedName name="DBNAME1" localSheetId="13">#REF!</definedName>
    <definedName name="DBNAME1" localSheetId="14">#REF!</definedName>
    <definedName name="DBNAME1" localSheetId="15">#REF!</definedName>
    <definedName name="DBNAME1" localSheetId="0">#REF!</definedName>
    <definedName name="DBNAME1" localSheetId="1">#REF!</definedName>
    <definedName name="DBNAME1" localSheetId="2">#REF!</definedName>
    <definedName name="DBNAME1" localSheetId="3">#REF!</definedName>
    <definedName name="DBNAME1" localSheetId="9">#REF!</definedName>
    <definedName name="DBNAME1">#REF!</definedName>
    <definedName name="DBUSERNAME1" localSheetId="12">#REF!</definedName>
    <definedName name="DBUSERNAME1" localSheetId="13">#REF!</definedName>
    <definedName name="DBUSERNAME1" localSheetId="14">#REF!</definedName>
    <definedName name="DBUSERNAME1" localSheetId="15">#REF!</definedName>
    <definedName name="DBUSERNAME1" localSheetId="0">#REF!</definedName>
    <definedName name="DBUSERNAME1" localSheetId="1">#REF!</definedName>
    <definedName name="DBUSERNAME1" localSheetId="2">#REF!</definedName>
    <definedName name="DBUSERNAME1" localSheetId="3">#REF!</definedName>
    <definedName name="DBUSERNAME1" localSheetId="9">#REF!</definedName>
    <definedName name="DBUSERNAME1">#REF!</definedName>
    <definedName name="DELETELOGICTYPE1" localSheetId="12">#REF!</definedName>
    <definedName name="DELETELOGICTYPE1" localSheetId="13">#REF!</definedName>
    <definedName name="DELETELOGICTYPE1" localSheetId="14">#REF!</definedName>
    <definedName name="DELETELOGICTYPE1" localSheetId="15">#REF!</definedName>
    <definedName name="DELETELOGICTYPE1" localSheetId="0">#REF!</definedName>
    <definedName name="DELETELOGICTYPE1" localSheetId="1">#REF!</definedName>
    <definedName name="DELETELOGICTYPE1" localSheetId="2">#REF!</definedName>
    <definedName name="DELETELOGICTYPE1" localSheetId="3">#REF!</definedName>
    <definedName name="DELETELOGICTYPE1" localSheetId="9">#REF!</definedName>
    <definedName name="DELETELOGICTYPE1">#REF!</definedName>
    <definedName name="ENDPERIODNAME1" localSheetId="12">#REF!</definedName>
    <definedName name="ENDPERIODNAME1" localSheetId="13">#REF!</definedName>
    <definedName name="ENDPERIODNAME1" localSheetId="14">#REF!</definedName>
    <definedName name="ENDPERIODNAME1" localSheetId="15">#REF!</definedName>
    <definedName name="ENDPERIODNAME1" localSheetId="0">#REF!</definedName>
    <definedName name="ENDPERIODNAME1" localSheetId="1">#REF!</definedName>
    <definedName name="ENDPERIODNAME1" localSheetId="2">#REF!</definedName>
    <definedName name="ENDPERIODNAME1" localSheetId="3">#REF!</definedName>
    <definedName name="ENDPERIODNAME1" localSheetId="9">#REF!</definedName>
    <definedName name="ENDPERIODNAME1">#REF!</definedName>
    <definedName name="ENDPERIODNUM1" localSheetId="12">#REF!</definedName>
    <definedName name="ENDPERIODNUM1" localSheetId="13">#REF!</definedName>
    <definedName name="ENDPERIODNUM1" localSheetId="14">#REF!</definedName>
    <definedName name="ENDPERIODNUM1" localSheetId="15">#REF!</definedName>
    <definedName name="ENDPERIODNUM1" localSheetId="0">#REF!</definedName>
    <definedName name="ENDPERIODNUM1" localSheetId="1">#REF!</definedName>
    <definedName name="ENDPERIODNUM1" localSheetId="2">#REF!</definedName>
    <definedName name="ENDPERIODNUM1" localSheetId="3">#REF!</definedName>
    <definedName name="ENDPERIODNUM1" localSheetId="9">#REF!</definedName>
    <definedName name="ENDPERIODNUM1">#REF!</definedName>
    <definedName name="ENDPERIODYEAR1" localSheetId="12">#REF!</definedName>
    <definedName name="ENDPERIODYEAR1" localSheetId="13">#REF!</definedName>
    <definedName name="ENDPERIODYEAR1" localSheetId="14">#REF!</definedName>
    <definedName name="ENDPERIODYEAR1" localSheetId="15">#REF!</definedName>
    <definedName name="ENDPERIODYEAR1" localSheetId="0">#REF!</definedName>
    <definedName name="ENDPERIODYEAR1" localSheetId="1">#REF!</definedName>
    <definedName name="ENDPERIODYEAR1" localSheetId="2">#REF!</definedName>
    <definedName name="ENDPERIODYEAR1" localSheetId="3">#REF!</definedName>
    <definedName name="ENDPERIODYEAR1" localSheetId="9">#REF!</definedName>
    <definedName name="ENDPERIODYEAR1">#REF!</definedName>
    <definedName name="exp">[4]expenditure!$A$5:$G$62</definedName>
    <definedName name="FFAPPCOLNAME1_1" localSheetId="12">#REF!</definedName>
    <definedName name="FFAPPCOLNAME1_1" localSheetId="13">#REF!</definedName>
    <definedName name="FFAPPCOLNAME1_1" localSheetId="14">#REF!</definedName>
    <definedName name="FFAPPCOLNAME1_1" localSheetId="15">#REF!</definedName>
    <definedName name="FFAPPCOLNAME1_1" localSheetId="0">#REF!</definedName>
    <definedName name="FFAPPCOLNAME1_1" localSheetId="1">#REF!</definedName>
    <definedName name="FFAPPCOLNAME1_1" localSheetId="2">#REF!</definedName>
    <definedName name="FFAPPCOLNAME1_1" localSheetId="3">#REF!</definedName>
    <definedName name="FFAPPCOLNAME1_1" localSheetId="9">#REF!</definedName>
    <definedName name="FFAPPCOLNAME1_1">#REF!</definedName>
    <definedName name="FFAPPCOLNAME2_1" localSheetId="12">#REF!</definedName>
    <definedName name="FFAPPCOLNAME2_1" localSheetId="13">#REF!</definedName>
    <definedName name="FFAPPCOLNAME2_1" localSheetId="14">#REF!</definedName>
    <definedName name="FFAPPCOLNAME2_1" localSheetId="15">#REF!</definedName>
    <definedName name="FFAPPCOLNAME2_1" localSheetId="0">#REF!</definedName>
    <definedName name="FFAPPCOLNAME2_1" localSheetId="1">#REF!</definedName>
    <definedName name="FFAPPCOLNAME2_1" localSheetId="2">#REF!</definedName>
    <definedName name="FFAPPCOLNAME2_1" localSheetId="3">#REF!</definedName>
    <definedName name="FFAPPCOLNAME2_1" localSheetId="9">#REF!</definedName>
    <definedName name="FFAPPCOLNAME2_1">#REF!</definedName>
    <definedName name="FFAPPCOLNAME3_1" localSheetId="12">#REF!</definedName>
    <definedName name="FFAPPCOLNAME3_1" localSheetId="13">#REF!</definedName>
    <definedName name="FFAPPCOLNAME3_1" localSheetId="14">#REF!</definedName>
    <definedName name="FFAPPCOLNAME3_1" localSheetId="15">#REF!</definedName>
    <definedName name="FFAPPCOLNAME3_1" localSheetId="0">#REF!</definedName>
    <definedName name="FFAPPCOLNAME3_1" localSheetId="1">#REF!</definedName>
    <definedName name="FFAPPCOLNAME3_1" localSheetId="2">#REF!</definedName>
    <definedName name="FFAPPCOLNAME3_1" localSheetId="3">#REF!</definedName>
    <definedName name="FFAPPCOLNAME3_1" localSheetId="9">#REF!</definedName>
    <definedName name="FFAPPCOLNAME3_1">#REF!</definedName>
    <definedName name="FFAPPCOLNAME4_1" localSheetId="12">#REF!</definedName>
    <definedName name="FFAPPCOLNAME4_1" localSheetId="13">#REF!</definedName>
    <definedName name="FFAPPCOLNAME4_1" localSheetId="14">#REF!</definedName>
    <definedName name="FFAPPCOLNAME4_1" localSheetId="15">#REF!</definedName>
    <definedName name="FFAPPCOLNAME4_1" localSheetId="0">#REF!</definedName>
    <definedName name="FFAPPCOLNAME4_1" localSheetId="1">#REF!</definedName>
    <definedName name="FFAPPCOLNAME4_1" localSheetId="2">#REF!</definedName>
    <definedName name="FFAPPCOLNAME4_1" localSheetId="3">#REF!</definedName>
    <definedName name="FFAPPCOLNAME4_1" localSheetId="9">#REF!</definedName>
    <definedName name="FFAPPCOLNAME4_1">#REF!</definedName>
    <definedName name="FFAPPCOLNAME5_1" localSheetId="12">#REF!</definedName>
    <definedName name="FFAPPCOLNAME5_1" localSheetId="13">#REF!</definedName>
    <definedName name="FFAPPCOLNAME5_1" localSheetId="14">#REF!</definedName>
    <definedName name="FFAPPCOLNAME5_1" localSheetId="15">#REF!</definedName>
    <definedName name="FFAPPCOLNAME5_1" localSheetId="0">#REF!</definedName>
    <definedName name="FFAPPCOLNAME5_1" localSheetId="1">#REF!</definedName>
    <definedName name="FFAPPCOLNAME5_1" localSheetId="2">#REF!</definedName>
    <definedName name="FFAPPCOLNAME5_1" localSheetId="3">#REF!</definedName>
    <definedName name="FFAPPCOLNAME5_1" localSheetId="9">#REF!</definedName>
    <definedName name="FFAPPCOLNAME5_1">#REF!</definedName>
    <definedName name="FFAPPCOLNAME6_1" localSheetId="12">#REF!</definedName>
    <definedName name="FFAPPCOLNAME6_1" localSheetId="13">#REF!</definedName>
    <definedName name="FFAPPCOLNAME6_1" localSheetId="14">#REF!</definedName>
    <definedName name="FFAPPCOLNAME6_1" localSheetId="15">#REF!</definedName>
    <definedName name="FFAPPCOLNAME6_1" localSheetId="0">#REF!</definedName>
    <definedName name="FFAPPCOLNAME6_1" localSheetId="1">#REF!</definedName>
    <definedName name="FFAPPCOLNAME6_1" localSheetId="2">#REF!</definedName>
    <definedName name="FFAPPCOLNAME6_1" localSheetId="3">#REF!</definedName>
    <definedName name="FFAPPCOLNAME6_1" localSheetId="9">#REF!</definedName>
    <definedName name="FFAPPCOLNAME6_1">#REF!</definedName>
    <definedName name="FFAPPCOLNAME7_1" localSheetId="12">#REF!</definedName>
    <definedName name="FFAPPCOLNAME7_1" localSheetId="13">#REF!</definedName>
    <definedName name="FFAPPCOLNAME7_1" localSheetId="14">#REF!</definedName>
    <definedName name="FFAPPCOLNAME7_1" localSheetId="15">#REF!</definedName>
    <definedName name="FFAPPCOLNAME7_1" localSheetId="0">#REF!</definedName>
    <definedName name="FFAPPCOLNAME7_1" localSheetId="1">#REF!</definedName>
    <definedName name="FFAPPCOLNAME7_1" localSheetId="2">#REF!</definedName>
    <definedName name="FFAPPCOLNAME7_1" localSheetId="3">#REF!</definedName>
    <definedName name="FFAPPCOLNAME7_1" localSheetId="9">#REF!</definedName>
    <definedName name="FFAPPCOLNAME7_1">#REF!</definedName>
    <definedName name="FFAPPCOLNAME8_1" localSheetId="12">#REF!</definedName>
    <definedName name="FFAPPCOLNAME8_1" localSheetId="13">#REF!</definedName>
    <definedName name="FFAPPCOLNAME8_1" localSheetId="14">#REF!</definedName>
    <definedName name="FFAPPCOLNAME8_1" localSheetId="15">#REF!</definedName>
    <definedName name="FFAPPCOLNAME8_1" localSheetId="0">#REF!</definedName>
    <definedName name="FFAPPCOLNAME8_1" localSheetId="1">#REF!</definedName>
    <definedName name="FFAPPCOLNAME8_1" localSheetId="2">#REF!</definedName>
    <definedName name="FFAPPCOLNAME8_1" localSheetId="3">#REF!</definedName>
    <definedName name="FFAPPCOLNAME8_1" localSheetId="9">#REF!</definedName>
    <definedName name="FFAPPCOLNAME8_1">#REF!</definedName>
    <definedName name="FFSEGDESC1_1" localSheetId="12">#REF!</definedName>
    <definedName name="FFSEGDESC1_1" localSheetId="13">#REF!</definedName>
    <definedName name="FFSEGDESC1_1" localSheetId="14">#REF!</definedName>
    <definedName name="FFSEGDESC1_1" localSheetId="15">#REF!</definedName>
    <definedName name="FFSEGDESC1_1" localSheetId="0">#REF!</definedName>
    <definedName name="FFSEGDESC1_1" localSheetId="1">#REF!</definedName>
    <definedName name="FFSEGDESC1_1" localSheetId="2">#REF!</definedName>
    <definedName name="FFSEGDESC1_1" localSheetId="3">#REF!</definedName>
    <definedName name="FFSEGDESC1_1" localSheetId="9">#REF!</definedName>
    <definedName name="FFSEGDESC1_1">#REF!</definedName>
    <definedName name="FFSEGDESC2_1" localSheetId="12">#REF!</definedName>
    <definedName name="FFSEGDESC2_1" localSheetId="13">#REF!</definedName>
    <definedName name="FFSEGDESC2_1" localSheetId="14">#REF!</definedName>
    <definedName name="FFSEGDESC2_1" localSheetId="15">#REF!</definedName>
    <definedName name="FFSEGDESC2_1" localSheetId="0">#REF!</definedName>
    <definedName name="FFSEGDESC2_1" localSheetId="1">#REF!</definedName>
    <definedName name="FFSEGDESC2_1" localSheetId="2">#REF!</definedName>
    <definedName name="FFSEGDESC2_1" localSheetId="3">#REF!</definedName>
    <definedName name="FFSEGDESC2_1" localSheetId="9">#REF!</definedName>
    <definedName name="FFSEGDESC2_1">#REF!</definedName>
    <definedName name="FFSEGDESC3_1" localSheetId="12">#REF!</definedName>
    <definedName name="FFSEGDESC3_1" localSheetId="13">#REF!</definedName>
    <definedName name="FFSEGDESC3_1" localSheetId="14">#REF!</definedName>
    <definedName name="FFSEGDESC3_1" localSheetId="15">#REF!</definedName>
    <definedName name="FFSEGDESC3_1" localSheetId="0">#REF!</definedName>
    <definedName name="FFSEGDESC3_1" localSheetId="1">#REF!</definedName>
    <definedName name="FFSEGDESC3_1" localSheetId="2">#REF!</definedName>
    <definedName name="FFSEGDESC3_1" localSheetId="3">#REF!</definedName>
    <definedName name="FFSEGDESC3_1" localSheetId="9">#REF!</definedName>
    <definedName name="FFSEGDESC3_1">#REF!</definedName>
    <definedName name="FFSEGDESC4_1" localSheetId="12">#REF!</definedName>
    <definedName name="FFSEGDESC4_1" localSheetId="13">#REF!</definedName>
    <definedName name="FFSEGDESC4_1" localSheetId="14">#REF!</definedName>
    <definedName name="FFSEGDESC4_1" localSheetId="15">#REF!</definedName>
    <definedName name="FFSEGDESC4_1" localSheetId="0">#REF!</definedName>
    <definedName name="FFSEGDESC4_1" localSheetId="1">#REF!</definedName>
    <definedName name="FFSEGDESC4_1" localSheetId="2">#REF!</definedName>
    <definedName name="FFSEGDESC4_1" localSheetId="3">#REF!</definedName>
    <definedName name="FFSEGDESC4_1" localSheetId="9">#REF!</definedName>
    <definedName name="FFSEGDESC4_1">#REF!</definedName>
    <definedName name="FFSEGDESC5_1" localSheetId="12">#REF!</definedName>
    <definedName name="FFSEGDESC5_1" localSheetId="13">#REF!</definedName>
    <definedName name="FFSEGDESC5_1" localSheetId="14">#REF!</definedName>
    <definedName name="FFSEGDESC5_1" localSheetId="15">#REF!</definedName>
    <definedName name="FFSEGDESC5_1" localSheetId="0">#REF!</definedName>
    <definedName name="FFSEGDESC5_1" localSheetId="1">#REF!</definedName>
    <definedName name="FFSEGDESC5_1" localSheetId="2">#REF!</definedName>
    <definedName name="FFSEGDESC5_1" localSheetId="3">#REF!</definedName>
    <definedName name="FFSEGDESC5_1" localSheetId="9">#REF!</definedName>
    <definedName name="FFSEGDESC5_1">#REF!</definedName>
    <definedName name="FFSEGDESC6_1" localSheetId="12">#REF!</definedName>
    <definedName name="FFSEGDESC6_1" localSheetId="13">#REF!</definedName>
    <definedName name="FFSEGDESC6_1" localSheetId="14">#REF!</definedName>
    <definedName name="FFSEGDESC6_1" localSheetId="15">#REF!</definedName>
    <definedName name="FFSEGDESC6_1" localSheetId="0">#REF!</definedName>
    <definedName name="FFSEGDESC6_1" localSheetId="1">#REF!</definedName>
    <definedName name="FFSEGDESC6_1" localSheetId="2">#REF!</definedName>
    <definedName name="FFSEGDESC6_1" localSheetId="3">#REF!</definedName>
    <definedName name="FFSEGDESC6_1" localSheetId="9">#REF!</definedName>
    <definedName name="FFSEGDESC6_1">#REF!</definedName>
    <definedName name="FFSEGDESC7_1" localSheetId="12">#REF!</definedName>
    <definedName name="FFSEGDESC7_1" localSheetId="13">#REF!</definedName>
    <definedName name="FFSEGDESC7_1" localSheetId="14">#REF!</definedName>
    <definedName name="FFSEGDESC7_1" localSheetId="15">#REF!</definedName>
    <definedName name="FFSEGDESC7_1" localSheetId="0">#REF!</definedName>
    <definedName name="FFSEGDESC7_1" localSheetId="1">#REF!</definedName>
    <definedName name="FFSEGDESC7_1" localSheetId="2">#REF!</definedName>
    <definedName name="FFSEGDESC7_1" localSheetId="3">#REF!</definedName>
    <definedName name="FFSEGDESC7_1" localSheetId="9">#REF!</definedName>
    <definedName name="FFSEGDESC7_1">#REF!</definedName>
    <definedName name="FFSEGDESC8_1" localSheetId="12">#REF!</definedName>
    <definedName name="FFSEGDESC8_1" localSheetId="13">#REF!</definedName>
    <definedName name="FFSEGDESC8_1" localSheetId="14">#REF!</definedName>
    <definedName name="FFSEGDESC8_1" localSheetId="15">#REF!</definedName>
    <definedName name="FFSEGDESC8_1" localSheetId="0">#REF!</definedName>
    <definedName name="FFSEGDESC8_1" localSheetId="1">#REF!</definedName>
    <definedName name="FFSEGDESC8_1" localSheetId="2">#REF!</definedName>
    <definedName name="FFSEGDESC8_1" localSheetId="3">#REF!</definedName>
    <definedName name="FFSEGDESC8_1" localSheetId="9">#REF!</definedName>
    <definedName name="FFSEGDESC8_1">#REF!</definedName>
    <definedName name="FFSEGMENT1_1" localSheetId="12">#REF!</definedName>
    <definedName name="FFSEGMENT1_1" localSheetId="13">#REF!</definedName>
    <definedName name="FFSEGMENT1_1" localSheetId="14">#REF!</definedName>
    <definedName name="FFSEGMENT1_1" localSheetId="15">#REF!</definedName>
    <definedName name="FFSEGMENT1_1" localSheetId="0">#REF!</definedName>
    <definedName name="FFSEGMENT1_1" localSheetId="1">#REF!</definedName>
    <definedName name="FFSEGMENT1_1" localSheetId="2">#REF!</definedName>
    <definedName name="FFSEGMENT1_1" localSheetId="3">#REF!</definedName>
    <definedName name="FFSEGMENT1_1" localSheetId="9">#REF!</definedName>
    <definedName name="FFSEGMENT1_1">#REF!</definedName>
    <definedName name="FFSEGMENT2_1" localSheetId="12">#REF!</definedName>
    <definedName name="FFSEGMENT2_1" localSheetId="13">#REF!</definedName>
    <definedName name="FFSEGMENT2_1" localSheetId="14">#REF!</definedName>
    <definedName name="FFSEGMENT2_1" localSheetId="15">#REF!</definedName>
    <definedName name="FFSEGMENT2_1" localSheetId="0">#REF!</definedName>
    <definedName name="FFSEGMENT2_1" localSheetId="1">#REF!</definedName>
    <definedName name="FFSEGMENT2_1" localSheetId="2">#REF!</definedName>
    <definedName name="FFSEGMENT2_1" localSheetId="3">#REF!</definedName>
    <definedName name="FFSEGMENT2_1" localSheetId="9">#REF!</definedName>
    <definedName name="FFSEGMENT2_1">#REF!</definedName>
    <definedName name="FFSEGMENT3_1" localSheetId="12">#REF!</definedName>
    <definedName name="FFSEGMENT3_1" localSheetId="13">#REF!</definedName>
    <definedName name="FFSEGMENT3_1" localSheetId="14">#REF!</definedName>
    <definedName name="FFSEGMENT3_1" localSheetId="15">#REF!</definedName>
    <definedName name="FFSEGMENT3_1" localSheetId="0">#REF!</definedName>
    <definedName name="FFSEGMENT3_1" localSheetId="1">#REF!</definedName>
    <definedName name="FFSEGMENT3_1" localSheetId="2">#REF!</definedName>
    <definedName name="FFSEGMENT3_1" localSheetId="3">#REF!</definedName>
    <definedName name="FFSEGMENT3_1" localSheetId="9">#REF!</definedName>
    <definedName name="FFSEGMENT3_1">#REF!</definedName>
    <definedName name="FFSEGMENT4_1" localSheetId="12">#REF!</definedName>
    <definedName name="FFSEGMENT4_1" localSheetId="13">#REF!</definedName>
    <definedName name="FFSEGMENT4_1" localSheetId="14">#REF!</definedName>
    <definedName name="FFSEGMENT4_1" localSheetId="15">#REF!</definedName>
    <definedName name="FFSEGMENT4_1" localSheetId="0">#REF!</definedName>
    <definedName name="FFSEGMENT4_1" localSheetId="1">#REF!</definedName>
    <definedName name="FFSEGMENT4_1" localSheetId="2">#REF!</definedName>
    <definedName name="FFSEGMENT4_1" localSheetId="3">#REF!</definedName>
    <definedName name="FFSEGMENT4_1" localSheetId="9">#REF!</definedName>
    <definedName name="FFSEGMENT4_1">#REF!</definedName>
    <definedName name="FFSEGMENT5_1" localSheetId="12">#REF!</definedName>
    <definedName name="FFSEGMENT5_1" localSheetId="13">#REF!</definedName>
    <definedName name="FFSEGMENT5_1" localSheetId="14">#REF!</definedName>
    <definedName name="FFSEGMENT5_1" localSheetId="15">#REF!</definedName>
    <definedName name="FFSEGMENT5_1" localSheetId="0">#REF!</definedName>
    <definedName name="FFSEGMENT5_1" localSheetId="1">#REF!</definedName>
    <definedName name="FFSEGMENT5_1" localSheetId="2">#REF!</definedName>
    <definedName name="FFSEGMENT5_1" localSheetId="3">#REF!</definedName>
    <definedName name="FFSEGMENT5_1" localSheetId="9">#REF!</definedName>
    <definedName name="FFSEGMENT5_1">#REF!</definedName>
    <definedName name="FFSEGMENT6_1" localSheetId="12">#REF!</definedName>
    <definedName name="FFSEGMENT6_1" localSheetId="13">#REF!</definedName>
    <definedName name="FFSEGMENT6_1" localSheetId="14">#REF!</definedName>
    <definedName name="FFSEGMENT6_1" localSheetId="15">#REF!</definedName>
    <definedName name="FFSEGMENT6_1" localSheetId="0">#REF!</definedName>
    <definedName name="FFSEGMENT6_1" localSheetId="1">#REF!</definedName>
    <definedName name="FFSEGMENT6_1" localSheetId="2">#REF!</definedName>
    <definedName name="FFSEGMENT6_1" localSheetId="3">#REF!</definedName>
    <definedName name="FFSEGMENT6_1" localSheetId="9">#REF!</definedName>
    <definedName name="FFSEGMENT6_1">#REF!</definedName>
    <definedName name="FFSEGMENT7_1" localSheetId="12">#REF!</definedName>
    <definedName name="FFSEGMENT7_1" localSheetId="13">#REF!</definedName>
    <definedName name="FFSEGMENT7_1" localSheetId="14">#REF!</definedName>
    <definedName name="FFSEGMENT7_1" localSheetId="15">#REF!</definedName>
    <definedName name="FFSEGMENT7_1" localSheetId="0">#REF!</definedName>
    <definedName name="FFSEGMENT7_1" localSheetId="1">#REF!</definedName>
    <definedName name="FFSEGMENT7_1" localSheetId="2">#REF!</definedName>
    <definedName name="FFSEGMENT7_1" localSheetId="3">#REF!</definedName>
    <definedName name="FFSEGMENT7_1" localSheetId="9">#REF!</definedName>
    <definedName name="FFSEGMENT7_1">#REF!</definedName>
    <definedName name="FFSEGMENT8_1" localSheetId="12">#REF!</definedName>
    <definedName name="FFSEGMENT8_1" localSheetId="13">#REF!</definedName>
    <definedName name="FFSEGMENT8_1" localSheetId="14">#REF!</definedName>
    <definedName name="FFSEGMENT8_1" localSheetId="15">#REF!</definedName>
    <definedName name="FFSEGMENT8_1" localSheetId="0">#REF!</definedName>
    <definedName name="FFSEGMENT8_1" localSheetId="1">#REF!</definedName>
    <definedName name="FFSEGMENT8_1" localSheetId="2">#REF!</definedName>
    <definedName name="FFSEGMENT8_1" localSheetId="3">#REF!</definedName>
    <definedName name="FFSEGMENT8_1" localSheetId="9">#REF!</definedName>
    <definedName name="FFSEGMENT8_1">#REF!</definedName>
    <definedName name="FFSEGSEPARATOR1" localSheetId="12">#REF!</definedName>
    <definedName name="FFSEGSEPARATOR1" localSheetId="13">#REF!</definedName>
    <definedName name="FFSEGSEPARATOR1" localSheetId="14">#REF!</definedName>
    <definedName name="FFSEGSEPARATOR1" localSheetId="15">#REF!</definedName>
    <definedName name="FFSEGSEPARATOR1" localSheetId="0">#REF!</definedName>
    <definedName name="FFSEGSEPARATOR1" localSheetId="1">#REF!</definedName>
    <definedName name="FFSEGSEPARATOR1" localSheetId="2">#REF!</definedName>
    <definedName name="FFSEGSEPARATOR1" localSheetId="3">#REF!</definedName>
    <definedName name="FFSEGSEPARATOR1" localSheetId="9">#REF!</definedName>
    <definedName name="FFSEGSEPARATOR1">#REF!</definedName>
    <definedName name="FiscalYear">'[2]Combo Box'!$C$2:$C$9</definedName>
    <definedName name="FNDNAM1" localSheetId="12">#REF!</definedName>
    <definedName name="FNDNAM1" localSheetId="13">#REF!</definedName>
    <definedName name="FNDNAM1" localSheetId="14">#REF!</definedName>
    <definedName name="FNDNAM1" localSheetId="15">#REF!</definedName>
    <definedName name="FNDNAM1" localSheetId="0">#REF!</definedName>
    <definedName name="FNDNAM1" localSheetId="1">#REF!</definedName>
    <definedName name="FNDNAM1" localSheetId="2">#REF!</definedName>
    <definedName name="FNDNAM1" localSheetId="3">#REF!</definedName>
    <definedName name="FNDNAM1" localSheetId="9">#REF!</definedName>
    <definedName name="FNDNAM1">#REF!</definedName>
    <definedName name="FNDUSERID1" localSheetId="12">#REF!</definedName>
    <definedName name="FNDUSERID1" localSheetId="13">#REF!</definedName>
    <definedName name="FNDUSERID1" localSheetId="14">#REF!</definedName>
    <definedName name="FNDUSERID1" localSheetId="15">#REF!</definedName>
    <definedName name="FNDUSERID1" localSheetId="0">#REF!</definedName>
    <definedName name="FNDUSERID1" localSheetId="1">#REF!</definedName>
    <definedName name="FNDUSERID1" localSheetId="2">#REF!</definedName>
    <definedName name="FNDUSERID1" localSheetId="3">#REF!</definedName>
    <definedName name="FNDUSERID1" localSheetId="9">#REF!</definedName>
    <definedName name="FNDUSERID1">#REF!</definedName>
    <definedName name="fte" localSheetId="12">#REF!</definedName>
    <definedName name="fte" localSheetId="13">#REF!</definedName>
    <definedName name="fte" localSheetId="14">#REF!</definedName>
    <definedName name="fte" localSheetId="15">#REF!</definedName>
    <definedName name="fte" localSheetId="0">#REF!</definedName>
    <definedName name="fte" localSheetId="1">#REF!</definedName>
    <definedName name="fte" localSheetId="2">#REF!</definedName>
    <definedName name="fte" localSheetId="3">#REF!</definedName>
    <definedName name="fte" localSheetId="9">#REF!</definedName>
    <definedName name="fte">#REF!</definedName>
    <definedName name="FUND">'[2]Combo Box'!$A$2:$A$5</definedName>
    <definedName name="GWYUID1" localSheetId="12">#REF!</definedName>
    <definedName name="GWYUID1" localSheetId="13">#REF!</definedName>
    <definedName name="GWYUID1" localSheetId="14">#REF!</definedName>
    <definedName name="GWYUID1" localSheetId="15">#REF!</definedName>
    <definedName name="GWYUID1" localSheetId="0">#REF!</definedName>
    <definedName name="GWYUID1" localSheetId="1">#REF!</definedName>
    <definedName name="GWYUID1" localSheetId="2">#REF!</definedName>
    <definedName name="GWYUID1" localSheetId="3">#REF!</definedName>
    <definedName name="GWYUID1" localSheetId="9">#REF!</definedName>
    <definedName name="GWYUID1">#REF!</definedName>
    <definedName name="huntington" localSheetId="12">#REF!</definedName>
    <definedName name="huntington" localSheetId="13">#REF!</definedName>
    <definedName name="huntington" localSheetId="14">#REF!</definedName>
    <definedName name="huntington" localSheetId="15">#REF!</definedName>
    <definedName name="huntington" localSheetId="0">#REF!</definedName>
    <definedName name="huntington" localSheetId="1">#REF!</definedName>
    <definedName name="huntington" localSheetId="2">#REF!</definedName>
    <definedName name="huntington" localSheetId="3">#REF!</definedName>
    <definedName name="huntington" localSheetId="9">#REF!</definedName>
    <definedName name="huntington">#REF!</definedName>
    <definedName name="Jeff___TC145B11" localSheetId="12">#REF!</definedName>
    <definedName name="Jeff___TC145B11" localSheetId="0">#REF!</definedName>
    <definedName name="Jeff___TC145B11" localSheetId="1">#REF!</definedName>
    <definedName name="Jeff___TC145B11" localSheetId="2">#REF!</definedName>
    <definedName name="Jeff___TC145B11" localSheetId="3">#REF!</definedName>
    <definedName name="Jeff___TC145B11">#REF!</definedName>
    <definedName name="Jeff___TC145B11_QueryA" localSheetId="12">#REF!</definedName>
    <definedName name="Jeff___TC145B11_QueryA" localSheetId="0">#REF!</definedName>
    <definedName name="Jeff___TC145B11_QueryA" localSheetId="1">#REF!</definedName>
    <definedName name="Jeff___TC145B11_QueryA" localSheetId="2">#REF!</definedName>
    <definedName name="Jeff___TC145B11_QueryA" localSheetId="3">#REF!</definedName>
    <definedName name="Jeff___TC145B11_QueryA">#REF!</definedName>
    <definedName name="Jeff_121511a" localSheetId="12">#REF!</definedName>
    <definedName name="Jeff_121511a" localSheetId="0">#REF!</definedName>
    <definedName name="Jeff_121511a" localSheetId="1">#REF!</definedName>
    <definedName name="Jeff_121511a" localSheetId="2">#REF!</definedName>
    <definedName name="Jeff_121511a" localSheetId="3">#REF!</definedName>
    <definedName name="Jeff_121511a">#REF!</definedName>
    <definedName name="method2" localSheetId="12">#REF!</definedName>
    <definedName name="method2" localSheetId="13">#REF!</definedName>
    <definedName name="method2" localSheetId="14">#REF!</definedName>
    <definedName name="method2" localSheetId="15">#REF!</definedName>
    <definedName name="method2" localSheetId="0">#REF!</definedName>
    <definedName name="method2" localSheetId="1">#REF!</definedName>
    <definedName name="method2" localSheetId="2">#REF!</definedName>
    <definedName name="method2" localSheetId="3">#REF!</definedName>
    <definedName name="method2" localSheetId="9">#REF!</definedName>
    <definedName name="method2">#REF!</definedName>
    <definedName name="NOOFFFSEGMENTS1" localSheetId="12">#REF!</definedName>
    <definedName name="NOOFFFSEGMENTS1" localSheetId="13">#REF!</definedName>
    <definedName name="NOOFFFSEGMENTS1" localSheetId="14">#REF!</definedName>
    <definedName name="NOOFFFSEGMENTS1" localSheetId="15">#REF!</definedName>
    <definedName name="NOOFFFSEGMENTS1" localSheetId="0">#REF!</definedName>
    <definedName name="NOOFFFSEGMENTS1" localSheetId="1">#REF!</definedName>
    <definedName name="NOOFFFSEGMENTS1" localSheetId="2">#REF!</definedName>
    <definedName name="NOOFFFSEGMENTS1" localSheetId="3">#REF!</definedName>
    <definedName name="NOOFFFSEGMENTS1" localSheetId="9">#REF!</definedName>
    <definedName name="NOOFFFSEGMENTS1">#REF!</definedName>
    <definedName name="NOOFPERIODS1" localSheetId="12">#REF!</definedName>
    <definedName name="NOOFPERIODS1" localSheetId="13">#REF!</definedName>
    <definedName name="NOOFPERIODS1" localSheetId="14">#REF!</definedName>
    <definedName name="NOOFPERIODS1" localSheetId="15">#REF!</definedName>
    <definedName name="NOOFPERIODS1" localSheetId="0">#REF!</definedName>
    <definedName name="NOOFPERIODS1" localSheetId="1">#REF!</definedName>
    <definedName name="NOOFPERIODS1" localSheetId="2">#REF!</definedName>
    <definedName name="NOOFPERIODS1" localSheetId="3">#REF!</definedName>
    <definedName name="NOOFPERIODS1" localSheetId="9">#REF!</definedName>
    <definedName name="NOOFPERIODS1">#REF!</definedName>
    <definedName name="oee">[4]OEE!$B$4:$C$7</definedName>
    <definedName name="oee_all">[4]OEE!$B$45:$C$48</definedName>
    <definedName name="oee_noneed">[4]OEE!$B$12:$C$15</definedName>
    <definedName name="PERIODSETNAME1" localSheetId="12">#REF!</definedName>
    <definedName name="PERIODSETNAME1" localSheetId="13">#REF!</definedName>
    <definedName name="PERIODSETNAME1" localSheetId="14">#REF!</definedName>
    <definedName name="PERIODSETNAME1" localSheetId="15">#REF!</definedName>
    <definedName name="PERIODSETNAME1" localSheetId="0">#REF!</definedName>
    <definedName name="PERIODSETNAME1" localSheetId="1">#REF!</definedName>
    <definedName name="PERIODSETNAME1" localSheetId="2">#REF!</definedName>
    <definedName name="PERIODSETNAME1" localSheetId="3">#REF!</definedName>
    <definedName name="PERIODSETNAME1" localSheetId="9">#REF!</definedName>
    <definedName name="PERIODSETNAME1">#REF!</definedName>
    <definedName name="PERIODYEAR1" localSheetId="12">#REF!</definedName>
    <definedName name="PERIODYEAR1" localSheetId="13">#REF!</definedName>
    <definedName name="PERIODYEAR1" localSheetId="14">#REF!</definedName>
    <definedName name="PERIODYEAR1" localSheetId="15">#REF!</definedName>
    <definedName name="PERIODYEAR1" localSheetId="0">#REF!</definedName>
    <definedName name="PERIODYEAR1" localSheetId="1">#REF!</definedName>
    <definedName name="PERIODYEAR1" localSheetId="2">#REF!</definedName>
    <definedName name="PERIODYEAR1" localSheetId="3">#REF!</definedName>
    <definedName name="PERIODYEAR1" localSheetId="9">#REF!</definedName>
    <definedName name="PERIODYEAR1">#REF!</definedName>
    <definedName name="_xlnm.Print_Area" localSheetId="12">'9I FY 16-17 Alloc and Realloc'!$A$1:$AB$65</definedName>
    <definedName name="_xlnm.Print_Area" localSheetId="14">'9K Floor 16-17'!$A$1:$J$65</definedName>
    <definedName name="_xlnm.Print_Area" localSheetId="2">'C  - Beginning Base'!$A$1:$K$64</definedName>
    <definedName name="_xlnm.Print_Area" localSheetId="3">'D - Benefits'!$A$1:$H$63</definedName>
    <definedName name="_xlnm.Print_Area" localSheetId="4">'E -  Criminal Justice Alloc'!$A$1:$F$67</definedName>
    <definedName name="_xlnm.Print_Area" localSheetId="5">'F - FY 17-18 Alloc and Realloc'!$A$2:$AB$66</definedName>
    <definedName name="_xlnm.Print_Area" localSheetId="8">'WAFM Adjustments'!$A$1:$K$63</definedName>
    <definedName name="_xlnm.Print_Area" localSheetId="9">'WAFM Analysis'!$A$3:$DM$91</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0">#REF!</definedName>
    <definedName name="Print_Area_MI" localSheetId="1">#REF!</definedName>
    <definedName name="Print_Area_MI" localSheetId="2">#REF!</definedName>
    <definedName name="Print_Area_MI" localSheetId="3">#REF!</definedName>
    <definedName name="Print_Area_MI" localSheetId="9">#REF!</definedName>
    <definedName name="Print_Area_MI">#REF!</definedName>
    <definedName name="_xlnm.Print_Titles" localSheetId="12">'9I FY 16-17 Alloc and Realloc'!$3:$5</definedName>
    <definedName name="_xlnm.Print_Titles" localSheetId="13">'9J 16-17 WAFM alloc'!$4:$5</definedName>
    <definedName name="_xlnm.Print_Titles" localSheetId="14">'9K Floor 16-17'!$A:$B,'9K Floor 16-17'!$3:$5</definedName>
    <definedName name="_xlnm.Print_Titles" localSheetId="15">'9L floor adjustment 16-17'!$4:$5</definedName>
    <definedName name="_xlnm.Print_Titles" localSheetId="0">'A- Summary'!$1:$6</definedName>
    <definedName name="_xlnm.Print_Titles" localSheetId="1">'B - Allocation by GL'!$1:$5</definedName>
    <definedName name="_xlnm.Print_Titles" localSheetId="2">'C  - Beginning Base'!$1:$4</definedName>
    <definedName name="_xlnm.Print_Titles" localSheetId="5">'F - FY 17-18 Alloc and Realloc'!$A:$B,'F - FY 17-18 Alloc and Realloc'!$2:$5</definedName>
    <definedName name="_xlnm.Print_Titles" localSheetId="6">'G -  Preliminary 1% Reduction'!$1:$4</definedName>
    <definedName name="_xlnm.Print_Titles" localSheetId="8">'WAFM Adjustments'!$3:$4</definedName>
    <definedName name="_xlnm.Print_Titles" localSheetId="9">'WAFM Analysis'!$A:$B,'WAFM Analysis'!$3:$6</definedName>
    <definedName name="q" localSheetId="12">'[5]TC145 Template 20140101'!#REF!</definedName>
    <definedName name="q" localSheetId="0">'[5]TC145 Template 20140101'!#REF!</definedName>
    <definedName name="q" localSheetId="1">'[5]TC145 Template 20140101'!#REF!</definedName>
    <definedName name="q" localSheetId="2">'[5]TC145 Template 20140101'!#REF!</definedName>
    <definedName name="q" localSheetId="3">'[5]TC145 Template 20140101'!#REF!</definedName>
    <definedName name="q">'[5]TC145 Template 20140101'!#REF!</definedName>
    <definedName name="QtrAll" localSheetId="12">#REF!</definedName>
    <definedName name="QtrAll" localSheetId="13">#REF!</definedName>
    <definedName name="QtrAll" localSheetId="14">#REF!</definedName>
    <definedName name="QtrAll" localSheetId="15">#REF!</definedName>
    <definedName name="QtrAll" localSheetId="0">#REF!</definedName>
    <definedName name="QtrAll" localSheetId="1">#REF!</definedName>
    <definedName name="QtrAll" localSheetId="2">#REF!</definedName>
    <definedName name="QtrAll" localSheetId="3">#REF!</definedName>
    <definedName name="QtrAll" localSheetId="11">#REF!</definedName>
    <definedName name="QtrAll" localSheetId="9">#REF!</definedName>
    <definedName name="QtrAll">#REF!</definedName>
    <definedName name="READONLYBACKCOLOUR1" localSheetId="12">#REF!</definedName>
    <definedName name="READONLYBACKCOLOUR1" localSheetId="13">#REF!</definedName>
    <definedName name="READONLYBACKCOLOUR1" localSheetId="14">#REF!</definedName>
    <definedName name="READONLYBACKCOLOUR1" localSheetId="15">#REF!</definedName>
    <definedName name="READONLYBACKCOLOUR1" localSheetId="0">#REF!</definedName>
    <definedName name="READONLYBACKCOLOUR1" localSheetId="1">#REF!</definedName>
    <definedName name="READONLYBACKCOLOUR1" localSheetId="2">#REF!</definedName>
    <definedName name="READONLYBACKCOLOUR1" localSheetId="3">#REF!</definedName>
    <definedName name="READONLYBACKCOLOUR1" localSheetId="11">#REF!</definedName>
    <definedName name="READONLYBACKCOLOUR1" localSheetId="9">#REF!</definedName>
    <definedName name="READONLYBACKCOLOUR1">#REF!</definedName>
    <definedName name="READWRITEBACKCOLOUR1" localSheetId="12">#REF!</definedName>
    <definedName name="READWRITEBACKCOLOUR1" localSheetId="13">#REF!</definedName>
    <definedName name="READWRITEBACKCOLOUR1" localSheetId="14">#REF!</definedName>
    <definedName name="READWRITEBACKCOLOUR1" localSheetId="15">#REF!</definedName>
    <definedName name="READWRITEBACKCOLOUR1" localSheetId="0">#REF!</definedName>
    <definedName name="READWRITEBACKCOLOUR1" localSheetId="1">#REF!</definedName>
    <definedName name="READWRITEBACKCOLOUR1" localSheetId="2">#REF!</definedName>
    <definedName name="READWRITEBACKCOLOUR1" localSheetId="3">#REF!</definedName>
    <definedName name="READWRITEBACKCOLOUR1" localSheetId="9">#REF!</definedName>
    <definedName name="READWRITEBACKCOLOUR1">#REF!</definedName>
    <definedName name="Recover">[6]Macro1!$A$76</definedName>
    <definedName name="ReductionType">'[7]Combo Box'!$A$2:$A$5</definedName>
    <definedName name="REQUIREBUDGETJOURNALSFLAG1" localSheetId="12">#REF!</definedName>
    <definedName name="REQUIREBUDGETJOURNALSFLAG1" localSheetId="13">#REF!</definedName>
    <definedName name="REQUIREBUDGETJOURNALSFLAG1" localSheetId="14">#REF!</definedName>
    <definedName name="REQUIREBUDGETJOURNALSFLAG1" localSheetId="15">#REF!</definedName>
    <definedName name="REQUIREBUDGETJOURNALSFLAG1" localSheetId="0">#REF!</definedName>
    <definedName name="REQUIREBUDGETJOURNALSFLAG1" localSheetId="1">#REF!</definedName>
    <definedName name="REQUIREBUDGETJOURNALSFLAG1" localSheetId="2">#REF!</definedName>
    <definedName name="REQUIREBUDGETJOURNALSFLAG1" localSheetId="3">#REF!</definedName>
    <definedName name="REQUIREBUDGETJOURNALSFLAG1" localSheetId="11">#REF!</definedName>
    <definedName name="REQUIREBUDGETJOURNALSFLAG1" localSheetId="9">#REF!</definedName>
    <definedName name="REQUIREBUDGETJOURNALSFLAG1">#REF!</definedName>
    <definedName name="RESPONSIBILITYAPPLICATIONID1" localSheetId="12">#REF!</definedName>
    <definedName name="RESPONSIBILITYAPPLICATIONID1" localSheetId="13">#REF!</definedName>
    <definedName name="RESPONSIBILITYAPPLICATIONID1" localSheetId="14">#REF!</definedName>
    <definedName name="RESPONSIBILITYAPPLICATIONID1" localSheetId="15">#REF!</definedName>
    <definedName name="RESPONSIBILITYAPPLICATIONID1" localSheetId="0">#REF!</definedName>
    <definedName name="RESPONSIBILITYAPPLICATIONID1" localSheetId="1">#REF!</definedName>
    <definedName name="RESPONSIBILITYAPPLICATIONID1" localSheetId="2">#REF!</definedName>
    <definedName name="RESPONSIBILITYAPPLICATIONID1" localSheetId="3">#REF!</definedName>
    <definedName name="RESPONSIBILITYAPPLICATIONID1" localSheetId="11">#REF!</definedName>
    <definedName name="RESPONSIBILITYAPPLICATIONID1" localSheetId="9">#REF!</definedName>
    <definedName name="RESPONSIBILITYAPPLICATIONID1">#REF!</definedName>
    <definedName name="RESPONSIBILITYID1" localSheetId="12">#REF!</definedName>
    <definedName name="RESPONSIBILITYID1" localSheetId="13">#REF!</definedName>
    <definedName name="RESPONSIBILITYID1" localSheetId="14">#REF!</definedName>
    <definedName name="RESPONSIBILITYID1" localSheetId="15">#REF!</definedName>
    <definedName name="RESPONSIBILITYID1" localSheetId="0">#REF!</definedName>
    <definedName name="RESPONSIBILITYID1" localSheetId="1">#REF!</definedName>
    <definedName name="RESPONSIBILITYID1" localSheetId="2">#REF!</definedName>
    <definedName name="RESPONSIBILITYID1" localSheetId="3">#REF!</definedName>
    <definedName name="RESPONSIBILITYID1" localSheetId="11">#REF!</definedName>
    <definedName name="RESPONSIBILITYID1" localSheetId="9">#REF!</definedName>
    <definedName name="RESPONSIBILITYID1">#REF!</definedName>
    <definedName name="RESPONSIBILITYNAME1" localSheetId="12">#REF!</definedName>
    <definedName name="RESPONSIBILITYNAME1" localSheetId="13">#REF!</definedName>
    <definedName name="RESPONSIBILITYNAME1" localSheetId="14">#REF!</definedName>
    <definedName name="RESPONSIBILITYNAME1" localSheetId="15">#REF!</definedName>
    <definedName name="RESPONSIBILITYNAME1" localSheetId="0">#REF!</definedName>
    <definedName name="RESPONSIBILITYNAME1" localSheetId="1">#REF!</definedName>
    <definedName name="RESPONSIBILITYNAME1" localSheetId="2">#REF!</definedName>
    <definedName name="RESPONSIBILITYNAME1" localSheetId="3">#REF!</definedName>
    <definedName name="RESPONSIBILITYNAME1" localSheetId="9">#REF!</definedName>
    <definedName name="RESPONSIBILITYNAME1">#REF!</definedName>
    <definedName name="ROWSTOUPLOAD1" localSheetId="12">#REF!</definedName>
    <definedName name="ROWSTOUPLOAD1" localSheetId="13">#REF!</definedName>
    <definedName name="ROWSTOUPLOAD1" localSheetId="14">#REF!</definedName>
    <definedName name="ROWSTOUPLOAD1" localSheetId="15">#REF!</definedName>
    <definedName name="ROWSTOUPLOAD1" localSheetId="0">#REF!</definedName>
    <definedName name="ROWSTOUPLOAD1" localSheetId="1">#REF!</definedName>
    <definedName name="ROWSTOUPLOAD1" localSheetId="2">#REF!</definedName>
    <definedName name="ROWSTOUPLOAD1" localSheetId="3">#REF!</definedName>
    <definedName name="ROWSTOUPLOAD1" localSheetId="9">#REF!</definedName>
    <definedName name="ROWSTOUPLOAD1">#REF!</definedName>
    <definedName name="SEG1_DIRECTION1" localSheetId="12">#REF!</definedName>
    <definedName name="SEG1_DIRECTION1" localSheetId="13">#REF!</definedName>
    <definedName name="SEG1_DIRECTION1" localSheetId="14">#REF!</definedName>
    <definedName name="SEG1_DIRECTION1" localSheetId="15">#REF!</definedName>
    <definedName name="SEG1_DIRECTION1" localSheetId="0">#REF!</definedName>
    <definedName name="SEG1_DIRECTION1" localSheetId="1">#REF!</definedName>
    <definedName name="SEG1_DIRECTION1" localSheetId="2">#REF!</definedName>
    <definedName name="SEG1_DIRECTION1" localSheetId="3">#REF!</definedName>
    <definedName name="SEG1_DIRECTION1" localSheetId="9">#REF!</definedName>
    <definedName name="SEG1_DIRECTION1">#REF!</definedName>
    <definedName name="SEG1_FROM1" localSheetId="12">#REF!</definedName>
    <definedName name="SEG1_FROM1" localSheetId="13">#REF!</definedName>
    <definedName name="SEG1_FROM1" localSheetId="14">#REF!</definedName>
    <definedName name="SEG1_FROM1" localSheetId="15">#REF!</definedName>
    <definedName name="SEG1_FROM1" localSheetId="0">#REF!</definedName>
    <definedName name="SEG1_FROM1" localSheetId="1">#REF!</definedName>
    <definedName name="SEG1_FROM1" localSheetId="2">#REF!</definedName>
    <definedName name="SEG1_FROM1" localSheetId="3">#REF!</definedName>
    <definedName name="SEG1_FROM1" localSheetId="9">#REF!</definedName>
    <definedName name="SEG1_FROM1">#REF!</definedName>
    <definedName name="SEG1_SORT1" localSheetId="12">#REF!</definedName>
    <definedName name="SEG1_SORT1" localSheetId="13">#REF!</definedName>
    <definedName name="SEG1_SORT1" localSheetId="14">#REF!</definedName>
    <definedName name="SEG1_SORT1" localSheetId="15">#REF!</definedName>
    <definedName name="SEG1_SORT1" localSheetId="0">#REF!</definedName>
    <definedName name="SEG1_SORT1" localSheetId="1">#REF!</definedName>
    <definedName name="SEG1_SORT1" localSheetId="2">#REF!</definedName>
    <definedName name="SEG1_SORT1" localSheetId="3">#REF!</definedName>
    <definedName name="SEG1_SORT1" localSheetId="9">#REF!</definedName>
    <definedName name="SEG1_SORT1">#REF!</definedName>
    <definedName name="SEG1_TO1" localSheetId="12">#REF!</definedName>
    <definedName name="SEG1_TO1" localSheetId="13">#REF!</definedName>
    <definedName name="SEG1_TO1" localSheetId="14">#REF!</definedName>
    <definedName name="SEG1_TO1" localSheetId="15">#REF!</definedName>
    <definedName name="SEG1_TO1" localSheetId="0">#REF!</definedName>
    <definedName name="SEG1_TO1" localSheetId="1">#REF!</definedName>
    <definedName name="SEG1_TO1" localSheetId="2">#REF!</definedName>
    <definedName name="SEG1_TO1" localSheetId="3">#REF!</definedName>
    <definedName name="SEG1_TO1" localSheetId="9">#REF!</definedName>
    <definedName name="SEG1_TO1">#REF!</definedName>
    <definedName name="SEG2_DIRECTION1" localSheetId="12">#REF!</definedName>
    <definedName name="SEG2_DIRECTION1" localSheetId="13">#REF!</definedName>
    <definedName name="SEG2_DIRECTION1" localSheetId="14">#REF!</definedName>
    <definedName name="SEG2_DIRECTION1" localSheetId="15">#REF!</definedName>
    <definedName name="SEG2_DIRECTION1" localSheetId="0">#REF!</definedName>
    <definedName name="SEG2_DIRECTION1" localSheetId="1">#REF!</definedName>
    <definedName name="SEG2_DIRECTION1" localSheetId="2">#REF!</definedName>
    <definedName name="SEG2_DIRECTION1" localSheetId="3">#REF!</definedName>
    <definedName name="SEG2_DIRECTION1" localSheetId="9">#REF!</definedName>
    <definedName name="SEG2_DIRECTION1">#REF!</definedName>
    <definedName name="SEG2_FROM1" localSheetId="12">#REF!</definedName>
    <definedName name="SEG2_FROM1" localSheetId="13">#REF!</definedName>
    <definedName name="SEG2_FROM1" localSheetId="14">#REF!</definedName>
    <definedName name="SEG2_FROM1" localSheetId="15">#REF!</definedName>
    <definedName name="SEG2_FROM1" localSheetId="0">#REF!</definedName>
    <definedName name="SEG2_FROM1" localSheetId="1">#REF!</definedName>
    <definedName name="SEG2_FROM1" localSheetId="2">#REF!</definedName>
    <definedName name="SEG2_FROM1" localSheetId="3">#REF!</definedName>
    <definedName name="SEG2_FROM1" localSheetId="9">#REF!</definedName>
    <definedName name="SEG2_FROM1">#REF!</definedName>
    <definedName name="SEG2_SORT1" localSheetId="12">#REF!</definedName>
    <definedName name="SEG2_SORT1" localSheetId="13">#REF!</definedName>
    <definedName name="SEG2_SORT1" localSheetId="14">#REF!</definedName>
    <definedName name="SEG2_SORT1" localSheetId="15">#REF!</definedName>
    <definedName name="SEG2_SORT1" localSheetId="0">#REF!</definedName>
    <definedName name="SEG2_SORT1" localSheetId="1">#REF!</definedName>
    <definedName name="SEG2_SORT1" localSheetId="2">#REF!</definedName>
    <definedName name="SEG2_SORT1" localSheetId="3">#REF!</definedName>
    <definedName name="SEG2_SORT1" localSheetId="9">#REF!</definedName>
    <definedName name="SEG2_SORT1">#REF!</definedName>
    <definedName name="SEG2_TO1" localSheetId="12">#REF!</definedName>
    <definedName name="SEG2_TO1" localSheetId="13">#REF!</definedName>
    <definedName name="SEG2_TO1" localSheetId="14">#REF!</definedName>
    <definedName name="SEG2_TO1" localSheetId="15">#REF!</definedName>
    <definedName name="SEG2_TO1" localSheetId="0">#REF!</definedName>
    <definedName name="SEG2_TO1" localSheetId="1">#REF!</definedName>
    <definedName name="SEG2_TO1" localSheetId="2">#REF!</definedName>
    <definedName name="SEG2_TO1" localSheetId="3">#REF!</definedName>
    <definedName name="SEG2_TO1" localSheetId="9">#REF!</definedName>
    <definedName name="SEG2_TO1">#REF!</definedName>
    <definedName name="SEG3_DIRECTION1" localSheetId="12">#REF!</definedName>
    <definedName name="SEG3_DIRECTION1" localSheetId="13">#REF!</definedName>
    <definedName name="SEG3_DIRECTION1" localSheetId="14">#REF!</definedName>
    <definedName name="SEG3_DIRECTION1" localSheetId="15">#REF!</definedName>
    <definedName name="SEG3_DIRECTION1" localSheetId="0">#REF!</definedName>
    <definedName name="SEG3_DIRECTION1" localSheetId="1">#REF!</definedName>
    <definedName name="SEG3_DIRECTION1" localSheetId="2">#REF!</definedName>
    <definedName name="SEG3_DIRECTION1" localSheetId="3">#REF!</definedName>
    <definedName name="SEG3_DIRECTION1" localSheetId="9">#REF!</definedName>
    <definedName name="SEG3_DIRECTION1">#REF!</definedName>
    <definedName name="SEG3_FROM1" localSheetId="12">#REF!</definedName>
    <definedName name="SEG3_FROM1" localSheetId="13">#REF!</definedName>
    <definedName name="SEG3_FROM1" localSheetId="14">#REF!</definedName>
    <definedName name="SEG3_FROM1" localSheetId="15">#REF!</definedName>
    <definedName name="SEG3_FROM1" localSheetId="0">#REF!</definedName>
    <definedName name="SEG3_FROM1" localSheetId="1">#REF!</definedName>
    <definedName name="SEG3_FROM1" localSheetId="2">#REF!</definedName>
    <definedName name="SEG3_FROM1" localSheetId="3">#REF!</definedName>
    <definedName name="SEG3_FROM1" localSheetId="9">#REF!</definedName>
    <definedName name="SEG3_FROM1">#REF!</definedName>
    <definedName name="SEG3_SORT1" localSheetId="12">#REF!</definedName>
    <definedName name="SEG3_SORT1" localSheetId="13">#REF!</definedName>
    <definedName name="SEG3_SORT1" localSheetId="14">#REF!</definedName>
    <definedName name="SEG3_SORT1" localSheetId="15">#REF!</definedName>
    <definedName name="SEG3_SORT1" localSheetId="0">#REF!</definedName>
    <definedName name="SEG3_SORT1" localSheetId="1">#REF!</definedName>
    <definedName name="SEG3_SORT1" localSheetId="2">#REF!</definedName>
    <definedName name="SEG3_SORT1" localSheetId="3">#REF!</definedName>
    <definedName name="SEG3_SORT1" localSheetId="9">#REF!</definedName>
    <definedName name="SEG3_SORT1">#REF!</definedName>
    <definedName name="SEG3_TO1" localSheetId="12">#REF!</definedName>
    <definedName name="SEG3_TO1" localSheetId="13">#REF!</definedName>
    <definedName name="SEG3_TO1" localSheetId="14">#REF!</definedName>
    <definedName name="SEG3_TO1" localSheetId="15">#REF!</definedName>
    <definedName name="SEG3_TO1" localSheetId="0">#REF!</definedName>
    <definedName name="SEG3_TO1" localSheetId="1">#REF!</definedName>
    <definedName name="SEG3_TO1" localSheetId="2">#REF!</definedName>
    <definedName name="SEG3_TO1" localSheetId="3">#REF!</definedName>
    <definedName name="SEG3_TO1" localSheetId="9">#REF!</definedName>
    <definedName name="SEG3_TO1">#REF!</definedName>
    <definedName name="SEG4_DIRECTION1" localSheetId="12">#REF!</definedName>
    <definedName name="SEG4_DIRECTION1" localSheetId="13">#REF!</definedName>
    <definedName name="SEG4_DIRECTION1" localSheetId="14">#REF!</definedName>
    <definedName name="SEG4_DIRECTION1" localSheetId="15">#REF!</definedName>
    <definedName name="SEG4_DIRECTION1" localSheetId="0">#REF!</definedName>
    <definedName name="SEG4_DIRECTION1" localSheetId="1">#REF!</definedName>
    <definedName name="SEG4_DIRECTION1" localSheetId="2">#REF!</definedName>
    <definedName name="SEG4_DIRECTION1" localSheetId="3">#REF!</definedName>
    <definedName name="SEG4_DIRECTION1" localSheetId="9">#REF!</definedName>
    <definedName name="SEG4_DIRECTION1">#REF!</definedName>
    <definedName name="SEG4_FROM1" localSheetId="12">#REF!</definedName>
    <definedName name="SEG4_FROM1" localSheetId="13">#REF!</definedName>
    <definedName name="SEG4_FROM1" localSheetId="14">#REF!</definedName>
    <definedName name="SEG4_FROM1" localSheetId="15">#REF!</definedName>
    <definedName name="SEG4_FROM1" localSheetId="0">#REF!</definedName>
    <definedName name="SEG4_FROM1" localSheetId="1">#REF!</definedName>
    <definedName name="SEG4_FROM1" localSheetId="2">#REF!</definedName>
    <definedName name="SEG4_FROM1" localSheetId="3">#REF!</definedName>
    <definedName name="SEG4_FROM1" localSheetId="9">#REF!</definedName>
    <definedName name="SEG4_FROM1">#REF!</definedName>
    <definedName name="SEG4_SORT1" localSheetId="12">#REF!</definedName>
    <definedName name="SEG4_SORT1" localSheetId="13">#REF!</definedName>
    <definedName name="SEG4_SORT1" localSheetId="14">#REF!</definedName>
    <definedName name="SEG4_SORT1" localSheetId="15">#REF!</definedName>
    <definedName name="SEG4_SORT1" localSheetId="0">#REF!</definedName>
    <definedName name="SEG4_SORT1" localSheetId="1">#REF!</definedName>
    <definedName name="SEG4_SORT1" localSheetId="2">#REF!</definedName>
    <definedName name="SEG4_SORT1" localSheetId="3">#REF!</definedName>
    <definedName name="SEG4_SORT1" localSheetId="9">#REF!</definedName>
    <definedName name="SEG4_SORT1">#REF!</definedName>
    <definedName name="SEG4_TO1" localSheetId="12">#REF!</definedName>
    <definedName name="SEG4_TO1" localSheetId="13">#REF!</definedName>
    <definedName name="SEG4_TO1" localSheetId="14">#REF!</definedName>
    <definedName name="SEG4_TO1" localSheetId="15">#REF!</definedName>
    <definedName name="SEG4_TO1" localSheetId="0">#REF!</definedName>
    <definedName name="SEG4_TO1" localSheetId="1">#REF!</definedName>
    <definedName name="SEG4_TO1" localSheetId="2">#REF!</definedName>
    <definedName name="SEG4_TO1" localSheetId="3">#REF!</definedName>
    <definedName name="SEG4_TO1" localSheetId="9">#REF!</definedName>
    <definedName name="SEG4_TO1">#REF!</definedName>
    <definedName name="SEG5_DIRECTION1" localSheetId="12">#REF!</definedName>
    <definedName name="SEG5_DIRECTION1" localSheetId="13">#REF!</definedName>
    <definedName name="SEG5_DIRECTION1" localSheetId="14">#REF!</definedName>
    <definedName name="SEG5_DIRECTION1" localSheetId="15">#REF!</definedName>
    <definedName name="SEG5_DIRECTION1" localSheetId="0">#REF!</definedName>
    <definedName name="SEG5_DIRECTION1" localSheetId="1">#REF!</definedName>
    <definedName name="SEG5_DIRECTION1" localSheetId="2">#REF!</definedName>
    <definedName name="SEG5_DIRECTION1" localSheetId="3">#REF!</definedName>
    <definedName name="SEG5_DIRECTION1" localSheetId="9">#REF!</definedName>
    <definedName name="SEG5_DIRECTION1">#REF!</definedName>
    <definedName name="SEG5_FROM1" localSheetId="12">#REF!</definedName>
    <definedName name="SEG5_FROM1" localSheetId="13">#REF!</definedName>
    <definedName name="SEG5_FROM1" localSheetId="14">#REF!</definedName>
    <definedName name="SEG5_FROM1" localSheetId="15">#REF!</definedName>
    <definedName name="SEG5_FROM1" localSheetId="0">#REF!</definedName>
    <definedName name="SEG5_FROM1" localSheetId="1">#REF!</definedName>
    <definedName name="SEG5_FROM1" localSheetId="2">#REF!</definedName>
    <definedName name="SEG5_FROM1" localSheetId="3">#REF!</definedName>
    <definedName name="SEG5_FROM1" localSheetId="9">#REF!</definedName>
    <definedName name="SEG5_FROM1">#REF!</definedName>
    <definedName name="SEG5_SORT1" localSheetId="12">#REF!</definedName>
    <definedName name="SEG5_SORT1" localSheetId="13">#REF!</definedName>
    <definedName name="SEG5_SORT1" localSheetId="14">#REF!</definedName>
    <definedName name="SEG5_SORT1" localSheetId="15">#REF!</definedName>
    <definedName name="SEG5_SORT1" localSheetId="0">#REF!</definedName>
    <definedName name="SEG5_SORT1" localSheetId="1">#REF!</definedName>
    <definedName name="SEG5_SORT1" localSheetId="2">#REF!</definedName>
    <definedName name="SEG5_SORT1" localSheetId="3">#REF!</definedName>
    <definedName name="SEG5_SORT1" localSheetId="9">#REF!</definedName>
    <definedName name="SEG5_SORT1">#REF!</definedName>
    <definedName name="SEG5_TO1" localSheetId="12">#REF!</definedName>
    <definedName name="SEG5_TO1" localSheetId="13">#REF!</definedName>
    <definedName name="SEG5_TO1" localSheetId="14">#REF!</definedName>
    <definedName name="SEG5_TO1" localSheetId="15">#REF!</definedName>
    <definedName name="SEG5_TO1" localSheetId="0">#REF!</definedName>
    <definedName name="SEG5_TO1" localSheetId="1">#REF!</definedName>
    <definedName name="SEG5_TO1" localSheetId="2">#REF!</definedName>
    <definedName name="SEG5_TO1" localSheetId="3">#REF!</definedName>
    <definedName name="SEG5_TO1" localSheetId="9">#REF!</definedName>
    <definedName name="SEG5_TO1">#REF!</definedName>
    <definedName name="SEG6_DIRECTION1" localSheetId="12">#REF!</definedName>
    <definedName name="SEG6_DIRECTION1" localSheetId="13">#REF!</definedName>
    <definedName name="SEG6_DIRECTION1" localSheetId="14">#REF!</definedName>
    <definedName name="SEG6_DIRECTION1" localSheetId="15">#REF!</definedName>
    <definedName name="SEG6_DIRECTION1" localSheetId="0">#REF!</definedName>
    <definedName name="SEG6_DIRECTION1" localSheetId="1">#REF!</definedName>
    <definedName name="SEG6_DIRECTION1" localSheetId="2">#REF!</definedName>
    <definedName name="SEG6_DIRECTION1" localSheetId="3">#REF!</definedName>
    <definedName name="SEG6_DIRECTION1" localSheetId="9">#REF!</definedName>
    <definedName name="SEG6_DIRECTION1">#REF!</definedName>
    <definedName name="SEG6_FROM1" localSheetId="12">#REF!</definedName>
    <definedName name="SEG6_FROM1" localSheetId="13">#REF!</definedName>
    <definedName name="SEG6_FROM1" localSheetId="14">#REF!</definedName>
    <definedName name="SEG6_FROM1" localSheetId="15">#REF!</definedName>
    <definedName name="SEG6_FROM1" localSheetId="0">#REF!</definedName>
    <definedName name="SEG6_FROM1" localSheetId="1">#REF!</definedName>
    <definedName name="SEG6_FROM1" localSheetId="2">#REF!</definedName>
    <definedName name="SEG6_FROM1" localSheetId="3">#REF!</definedName>
    <definedName name="SEG6_FROM1" localSheetId="9">#REF!</definedName>
    <definedName name="SEG6_FROM1">#REF!</definedName>
    <definedName name="SEG6_SORT1" localSheetId="12">#REF!</definedName>
    <definedName name="SEG6_SORT1" localSheetId="13">#REF!</definedName>
    <definedName name="SEG6_SORT1" localSheetId="14">#REF!</definedName>
    <definedName name="SEG6_SORT1" localSheetId="15">#REF!</definedName>
    <definedName name="SEG6_SORT1" localSheetId="0">#REF!</definedName>
    <definedName name="SEG6_SORT1" localSheetId="1">#REF!</definedName>
    <definedName name="SEG6_SORT1" localSheetId="2">#REF!</definedName>
    <definedName name="SEG6_SORT1" localSheetId="3">#REF!</definedName>
    <definedName name="SEG6_SORT1" localSheetId="9">#REF!</definedName>
    <definedName name="SEG6_SORT1">#REF!</definedName>
    <definedName name="SEG6_TO1" localSheetId="12">#REF!</definedName>
    <definedName name="SEG6_TO1" localSheetId="13">#REF!</definedName>
    <definedName name="SEG6_TO1" localSheetId="14">#REF!</definedName>
    <definedName name="SEG6_TO1" localSheetId="15">#REF!</definedName>
    <definedName name="SEG6_TO1" localSheetId="0">#REF!</definedName>
    <definedName name="SEG6_TO1" localSheetId="1">#REF!</definedName>
    <definedName name="SEG6_TO1" localSheetId="2">#REF!</definedName>
    <definedName name="SEG6_TO1" localSheetId="3">#REF!</definedName>
    <definedName name="SEG6_TO1" localSheetId="9">#REF!</definedName>
    <definedName name="SEG6_TO1">#REF!</definedName>
    <definedName name="SEG7_DIRECTION1" localSheetId="12">#REF!</definedName>
    <definedName name="SEG7_DIRECTION1" localSheetId="13">#REF!</definedName>
    <definedName name="SEG7_DIRECTION1" localSheetId="14">#REF!</definedName>
    <definedName name="SEG7_DIRECTION1" localSheetId="15">#REF!</definedName>
    <definedName name="SEG7_DIRECTION1" localSheetId="0">#REF!</definedName>
    <definedName name="SEG7_DIRECTION1" localSheetId="1">#REF!</definedName>
    <definedName name="SEG7_DIRECTION1" localSheetId="2">#REF!</definedName>
    <definedName name="SEG7_DIRECTION1" localSheetId="3">#REF!</definedName>
    <definedName name="SEG7_DIRECTION1" localSheetId="9">#REF!</definedName>
    <definedName name="SEG7_DIRECTION1">#REF!</definedName>
    <definedName name="SEG7_FROM1" localSheetId="12">#REF!</definedName>
    <definedName name="SEG7_FROM1" localSheetId="13">#REF!</definedName>
    <definedName name="SEG7_FROM1" localSheetId="14">#REF!</definedName>
    <definedName name="SEG7_FROM1" localSheetId="15">#REF!</definedName>
    <definedName name="SEG7_FROM1" localSheetId="0">#REF!</definedName>
    <definedName name="SEG7_FROM1" localSheetId="1">#REF!</definedName>
    <definedName name="SEG7_FROM1" localSheetId="2">#REF!</definedName>
    <definedName name="SEG7_FROM1" localSheetId="3">#REF!</definedName>
    <definedName name="SEG7_FROM1" localSheetId="9">#REF!</definedName>
    <definedName name="SEG7_FROM1">#REF!</definedName>
    <definedName name="SEG7_SORT1" localSheetId="12">#REF!</definedName>
    <definedName name="SEG7_SORT1" localSheetId="13">#REF!</definedName>
    <definedName name="SEG7_SORT1" localSheetId="14">#REF!</definedName>
    <definedName name="SEG7_SORT1" localSheetId="15">#REF!</definedName>
    <definedName name="SEG7_SORT1" localSheetId="0">#REF!</definedName>
    <definedName name="SEG7_SORT1" localSheetId="1">#REF!</definedName>
    <definedName name="SEG7_SORT1" localSheetId="2">#REF!</definedName>
    <definedName name="SEG7_SORT1" localSheetId="3">#REF!</definedName>
    <definedName name="SEG7_SORT1" localSheetId="9">#REF!</definedName>
    <definedName name="SEG7_SORT1">#REF!</definedName>
    <definedName name="SEG7_TO1" localSheetId="12">#REF!</definedName>
    <definedName name="SEG7_TO1" localSheetId="13">#REF!</definedName>
    <definedName name="SEG7_TO1" localSheetId="14">#REF!</definedName>
    <definedName name="SEG7_TO1" localSheetId="15">#REF!</definedName>
    <definedName name="SEG7_TO1" localSheetId="0">#REF!</definedName>
    <definedName name="SEG7_TO1" localSheetId="1">#REF!</definedName>
    <definedName name="SEG7_TO1" localSheetId="2">#REF!</definedName>
    <definedName name="SEG7_TO1" localSheetId="3">#REF!</definedName>
    <definedName name="SEG7_TO1" localSheetId="9">#REF!</definedName>
    <definedName name="SEG7_TO1">#REF!</definedName>
    <definedName name="SEG8_DIRECTION1" localSheetId="12">#REF!</definedName>
    <definedName name="SEG8_DIRECTION1" localSheetId="13">#REF!</definedName>
    <definedName name="SEG8_DIRECTION1" localSheetId="14">#REF!</definedName>
    <definedName name="SEG8_DIRECTION1" localSheetId="15">#REF!</definedName>
    <definedName name="SEG8_DIRECTION1" localSheetId="0">#REF!</definedName>
    <definedName name="SEG8_DIRECTION1" localSheetId="1">#REF!</definedName>
    <definedName name="SEG8_DIRECTION1" localSheetId="2">#REF!</definedName>
    <definedName name="SEG8_DIRECTION1" localSheetId="3">#REF!</definedName>
    <definedName name="SEG8_DIRECTION1" localSheetId="9">#REF!</definedName>
    <definedName name="SEG8_DIRECTION1">#REF!</definedName>
    <definedName name="SEG8_FROM1" localSheetId="12">#REF!</definedName>
    <definedName name="SEG8_FROM1" localSheetId="13">#REF!</definedName>
    <definedName name="SEG8_FROM1" localSheetId="14">#REF!</definedName>
    <definedName name="SEG8_FROM1" localSheetId="15">#REF!</definedName>
    <definedName name="SEG8_FROM1" localSheetId="0">#REF!</definedName>
    <definedName name="SEG8_FROM1" localSheetId="1">#REF!</definedName>
    <definedName name="SEG8_FROM1" localSheetId="2">#REF!</definedName>
    <definedName name="SEG8_FROM1" localSheetId="3">#REF!</definedName>
    <definedName name="SEG8_FROM1" localSheetId="9">#REF!</definedName>
    <definedName name="SEG8_FROM1">#REF!</definedName>
    <definedName name="SEG8_SORT1" localSheetId="12">#REF!</definedName>
    <definedName name="SEG8_SORT1" localSheetId="13">#REF!</definedName>
    <definedName name="SEG8_SORT1" localSheetId="14">#REF!</definedName>
    <definedName name="SEG8_SORT1" localSheetId="15">#REF!</definedName>
    <definedName name="SEG8_SORT1" localSheetId="0">#REF!</definedName>
    <definedName name="SEG8_SORT1" localSheetId="1">#REF!</definedName>
    <definedName name="SEG8_SORT1" localSheetId="2">#REF!</definedName>
    <definedName name="SEG8_SORT1" localSheetId="3">#REF!</definedName>
    <definedName name="SEG8_SORT1" localSheetId="9">#REF!</definedName>
    <definedName name="SEG8_SORT1">#REF!</definedName>
    <definedName name="SEG8_TO1" localSheetId="12">#REF!</definedName>
    <definedName name="SEG8_TO1" localSheetId="13">#REF!</definedName>
    <definedName name="SEG8_TO1" localSheetId="14">#REF!</definedName>
    <definedName name="SEG8_TO1" localSheetId="15">#REF!</definedName>
    <definedName name="SEG8_TO1" localSheetId="0">#REF!</definedName>
    <definedName name="SEG8_TO1" localSheetId="1">#REF!</definedName>
    <definedName name="SEG8_TO1" localSheetId="2">#REF!</definedName>
    <definedName name="SEG8_TO1" localSheetId="3">#REF!</definedName>
    <definedName name="SEG8_TO1" localSheetId="9">#REF!</definedName>
    <definedName name="SEG8_TO1">#REF!</definedName>
    <definedName name="SETOFBOOKSID1" localSheetId="12">#REF!</definedName>
    <definedName name="SETOFBOOKSID1" localSheetId="13">#REF!</definedName>
    <definedName name="SETOFBOOKSID1" localSheetId="14">#REF!</definedName>
    <definedName name="SETOFBOOKSID1" localSheetId="15">#REF!</definedName>
    <definedName name="SETOFBOOKSID1" localSheetId="0">#REF!</definedName>
    <definedName name="SETOFBOOKSID1" localSheetId="1">#REF!</definedName>
    <definedName name="SETOFBOOKSID1" localSheetId="2">#REF!</definedName>
    <definedName name="SETOFBOOKSID1" localSheetId="3">#REF!</definedName>
    <definedName name="SETOFBOOKSID1" localSheetId="9">#REF!</definedName>
    <definedName name="SETOFBOOKSID1">#REF!</definedName>
    <definedName name="SETOFBOOKSNAME1" localSheetId="12">#REF!</definedName>
    <definedName name="SETOFBOOKSNAME1" localSheetId="13">#REF!</definedName>
    <definedName name="SETOFBOOKSNAME1" localSheetId="14">#REF!</definedName>
    <definedName name="SETOFBOOKSNAME1" localSheetId="15">#REF!</definedName>
    <definedName name="SETOFBOOKSNAME1" localSheetId="0">#REF!</definedName>
    <definedName name="SETOFBOOKSNAME1" localSheetId="1">#REF!</definedName>
    <definedName name="SETOFBOOKSNAME1" localSheetId="2">#REF!</definedName>
    <definedName name="SETOFBOOKSNAME1" localSheetId="3">#REF!</definedName>
    <definedName name="SETOFBOOKSNAME1" localSheetId="9">#REF!</definedName>
    <definedName name="SETOFBOOKSNAME1">#REF!</definedName>
    <definedName name="STARTBUDGETPOST1" localSheetId="12">#REF!</definedName>
    <definedName name="STARTBUDGETPOST1" localSheetId="13">#REF!</definedName>
    <definedName name="STARTBUDGETPOST1" localSheetId="14">#REF!</definedName>
    <definedName name="STARTBUDGETPOST1" localSheetId="15">#REF!</definedName>
    <definedName name="STARTBUDGETPOST1" localSheetId="0">#REF!</definedName>
    <definedName name="STARTBUDGETPOST1" localSheetId="1">#REF!</definedName>
    <definedName name="STARTBUDGETPOST1" localSheetId="2">#REF!</definedName>
    <definedName name="STARTBUDGETPOST1" localSheetId="3">#REF!</definedName>
    <definedName name="STARTBUDGETPOST1" localSheetId="9">#REF!</definedName>
    <definedName name="STARTBUDGETPOST1">#REF!</definedName>
    <definedName name="STARTPERIODNAME1" localSheetId="12">#REF!</definedName>
    <definedName name="STARTPERIODNAME1" localSheetId="13">#REF!</definedName>
    <definedName name="STARTPERIODNAME1" localSheetId="14">#REF!</definedName>
    <definedName name="STARTPERIODNAME1" localSheetId="15">#REF!</definedName>
    <definedName name="STARTPERIODNAME1" localSheetId="0">#REF!</definedName>
    <definedName name="STARTPERIODNAME1" localSheetId="1">#REF!</definedName>
    <definedName name="STARTPERIODNAME1" localSheetId="2">#REF!</definedName>
    <definedName name="STARTPERIODNAME1" localSheetId="3">#REF!</definedName>
    <definedName name="STARTPERIODNAME1" localSheetId="9">#REF!</definedName>
    <definedName name="STARTPERIODNAME1">#REF!</definedName>
    <definedName name="STARTPERIODNUM1" localSheetId="12">#REF!</definedName>
    <definedName name="STARTPERIODNUM1" localSheetId="13">#REF!</definedName>
    <definedName name="STARTPERIODNUM1" localSheetId="14">#REF!</definedName>
    <definedName name="STARTPERIODNUM1" localSheetId="15">#REF!</definedName>
    <definedName name="STARTPERIODNUM1" localSheetId="0">#REF!</definedName>
    <definedName name="STARTPERIODNUM1" localSheetId="1">#REF!</definedName>
    <definedName name="STARTPERIODNUM1" localSheetId="2">#REF!</definedName>
    <definedName name="STARTPERIODNUM1" localSheetId="3">#REF!</definedName>
    <definedName name="STARTPERIODNUM1" localSheetId="9">#REF!</definedName>
    <definedName name="STARTPERIODNUM1">#REF!</definedName>
    <definedName name="STARTPERIODYEAR1" localSheetId="12">#REF!</definedName>
    <definedName name="STARTPERIODYEAR1" localSheetId="13">#REF!</definedName>
    <definedName name="STARTPERIODYEAR1" localSheetId="14">#REF!</definedName>
    <definedName name="STARTPERIODYEAR1" localSheetId="15">#REF!</definedName>
    <definedName name="STARTPERIODYEAR1" localSheetId="0">#REF!</definedName>
    <definedName name="STARTPERIODYEAR1" localSheetId="1">#REF!</definedName>
    <definedName name="STARTPERIODYEAR1" localSheetId="2">#REF!</definedName>
    <definedName name="STARTPERIODYEAR1" localSheetId="3">#REF!</definedName>
    <definedName name="STARTPERIODYEAR1" localSheetId="9">#REF!</definedName>
    <definedName name="STARTPERIODYEAR1">#REF!</definedName>
    <definedName name="SuperiorCourt">'[8]TC-145 Template'!$W$1</definedName>
    <definedName name="TableName">"Dummy"</definedName>
    <definedName name="UPDATELOGICTYPE1" localSheetId="12">#REF!</definedName>
    <definedName name="UPDATELOGICTYPE1" localSheetId="13">#REF!</definedName>
    <definedName name="UPDATELOGICTYPE1" localSheetId="14">#REF!</definedName>
    <definedName name="UPDATELOGICTYPE1" localSheetId="15">#REF!</definedName>
    <definedName name="UPDATELOGICTYPE1" localSheetId="0">#REF!</definedName>
    <definedName name="UPDATELOGICTYPE1" localSheetId="1">#REF!</definedName>
    <definedName name="UPDATELOGICTYPE1" localSheetId="2">#REF!</definedName>
    <definedName name="UPDATELOGICTYPE1" localSheetId="3">#REF!</definedName>
    <definedName name="UPDATELOGICTYPE1" localSheetId="9">#REF!</definedName>
    <definedName name="UPDATELOGICTYPE1">#REF!</definedName>
    <definedName name="xxx">[9]Code!$F$1</definedName>
  </definedNames>
  <calcPr calcId="162913"/>
</workbook>
</file>

<file path=xl/calcChain.xml><?xml version="1.0" encoding="utf-8"?>
<calcChain xmlns="http://schemas.openxmlformats.org/spreadsheetml/2006/main">
  <c r="K63" i="129" l="1"/>
  <c r="K62" i="129"/>
  <c r="K61" i="129"/>
  <c r="K60" i="129"/>
  <c r="K59" i="129"/>
  <c r="K58" i="129"/>
  <c r="K57" i="129"/>
  <c r="K56" i="129"/>
  <c r="K55" i="129"/>
  <c r="K54" i="129"/>
  <c r="K53" i="129"/>
  <c r="K52" i="129"/>
  <c r="K51" i="129"/>
  <c r="K50" i="129"/>
  <c r="K49" i="129"/>
  <c r="K48" i="129"/>
  <c r="K47" i="129"/>
  <c r="K46" i="129"/>
  <c r="K45" i="129"/>
  <c r="K44" i="129"/>
  <c r="K43" i="129"/>
  <c r="K42" i="129"/>
  <c r="K41" i="129"/>
  <c r="K40" i="129"/>
  <c r="K39" i="129"/>
  <c r="K38" i="129"/>
  <c r="K37" i="129"/>
  <c r="K36" i="129"/>
  <c r="K35" i="129"/>
  <c r="K34" i="129"/>
  <c r="K33" i="129"/>
  <c r="K32" i="129"/>
  <c r="K31" i="129"/>
  <c r="K30" i="129"/>
  <c r="K29" i="129"/>
  <c r="K28" i="129"/>
  <c r="K27" i="129"/>
  <c r="K26" i="129"/>
  <c r="K25" i="129"/>
  <c r="K24" i="129"/>
  <c r="K23" i="129"/>
  <c r="K22" i="129"/>
  <c r="K21" i="129"/>
  <c r="K20" i="129"/>
  <c r="K19" i="129"/>
  <c r="K18" i="129"/>
  <c r="K17" i="129"/>
  <c r="K16" i="129"/>
  <c r="K15" i="129"/>
  <c r="K14" i="129"/>
  <c r="K13" i="129"/>
  <c r="K12" i="129"/>
  <c r="K11" i="129"/>
  <c r="K10" i="129"/>
  <c r="K9" i="129"/>
  <c r="K8" i="129"/>
  <c r="K7" i="129"/>
  <c r="K6" i="129"/>
  <c r="M6" i="129" s="1"/>
  <c r="I63" i="129"/>
  <c r="I62" i="129"/>
  <c r="I61" i="129"/>
  <c r="I60" i="129"/>
  <c r="I59" i="129"/>
  <c r="I58" i="129"/>
  <c r="I57" i="129"/>
  <c r="I56" i="129"/>
  <c r="I55" i="129"/>
  <c r="I54" i="129"/>
  <c r="I53" i="129"/>
  <c r="I52" i="129"/>
  <c r="I51" i="129"/>
  <c r="I50" i="129"/>
  <c r="I49" i="129"/>
  <c r="I48" i="129"/>
  <c r="I47" i="129"/>
  <c r="I46" i="129"/>
  <c r="I45" i="129"/>
  <c r="I44" i="129"/>
  <c r="I43" i="129"/>
  <c r="I42" i="129"/>
  <c r="I41" i="129"/>
  <c r="I40" i="129"/>
  <c r="I39" i="129"/>
  <c r="I38" i="129"/>
  <c r="I37" i="129"/>
  <c r="I36" i="129"/>
  <c r="I35" i="129"/>
  <c r="I34" i="129"/>
  <c r="I33" i="129"/>
  <c r="I32" i="129"/>
  <c r="I31" i="129"/>
  <c r="I30" i="129"/>
  <c r="I29" i="129"/>
  <c r="I28" i="129"/>
  <c r="I27" i="129"/>
  <c r="I26" i="129"/>
  <c r="I25" i="129"/>
  <c r="I24" i="129"/>
  <c r="I23" i="129"/>
  <c r="I22" i="129"/>
  <c r="I21" i="129"/>
  <c r="I20" i="129"/>
  <c r="I19" i="129"/>
  <c r="I18" i="129"/>
  <c r="I17" i="129"/>
  <c r="I16" i="129"/>
  <c r="I15" i="129"/>
  <c r="I14" i="129"/>
  <c r="I13" i="129"/>
  <c r="I12" i="129"/>
  <c r="I11" i="129"/>
  <c r="I10" i="129"/>
  <c r="I9" i="129"/>
  <c r="I8" i="129"/>
  <c r="I7" i="129"/>
  <c r="I6" i="129"/>
  <c r="K64" i="129" l="1"/>
  <c r="M64" i="129" s="1"/>
  <c r="I64" i="120"/>
  <c r="I63" i="120"/>
  <c r="I62" i="120"/>
  <c r="I61" i="120"/>
  <c r="I60" i="120"/>
  <c r="I59" i="120"/>
  <c r="I58" i="120"/>
  <c r="I57" i="120"/>
  <c r="I56" i="120"/>
  <c r="I55" i="120"/>
  <c r="I54" i="120"/>
  <c r="I53" i="120"/>
  <c r="I52" i="120"/>
  <c r="I51" i="120"/>
  <c r="I50" i="120"/>
  <c r="I49" i="120"/>
  <c r="I48" i="120"/>
  <c r="I47" i="120"/>
  <c r="I46" i="120"/>
  <c r="I45" i="120"/>
  <c r="I44" i="120"/>
  <c r="I43" i="120"/>
  <c r="I42" i="120"/>
  <c r="I41" i="120"/>
  <c r="I40" i="120"/>
  <c r="I39" i="120"/>
  <c r="I38" i="120"/>
  <c r="I37" i="120"/>
  <c r="I36" i="120"/>
  <c r="I35" i="120"/>
  <c r="I34" i="120"/>
  <c r="I33" i="120"/>
  <c r="I32" i="120"/>
  <c r="I31" i="120"/>
  <c r="I30" i="120"/>
  <c r="I29" i="120"/>
  <c r="I28" i="120"/>
  <c r="I27" i="120"/>
  <c r="I26" i="120"/>
  <c r="I25" i="120"/>
  <c r="I24" i="120"/>
  <c r="I23" i="120"/>
  <c r="I22" i="120"/>
  <c r="I21" i="120"/>
  <c r="I20" i="120"/>
  <c r="I19" i="120"/>
  <c r="I18" i="120"/>
  <c r="I17" i="120"/>
  <c r="I16" i="120"/>
  <c r="I15" i="120"/>
  <c r="I14" i="120"/>
  <c r="I13" i="120"/>
  <c r="I12" i="120"/>
  <c r="I11" i="120"/>
  <c r="I10" i="120"/>
  <c r="I9" i="120"/>
  <c r="I8" i="120"/>
  <c r="I7" i="120"/>
  <c r="H64" i="120"/>
  <c r="H63" i="120"/>
  <c r="H62" i="120"/>
  <c r="H61" i="120"/>
  <c r="H60" i="120"/>
  <c r="H59" i="120"/>
  <c r="H58" i="120"/>
  <c r="H57" i="120"/>
  <c r="H56" i="120"/>
  <c r="H55" i="120"/>
  <c r="H54" i="120"/>
  <c r="H53" i="120"/>
  <c r="H52" i="120"/>
  <c r="H51" i="120"/>
  <c r="H50" i="120"/>
  <c r="H49" i="120"/>
  <c r="H48" i="120"/>
  <c r="H47" i="120"/>
  <c r="H46" i="120"/>
  <c r="H45" i="120"/>
  <c r="H44" i="120"/>
  <c r="H43" i="120"/>
  <c r="H42" i="120"/>
  <c r="H41" i="120"/>
  <c r="H40" i="120"/>
  <c r="H39" i="120"/>
  <c r="H38" i="120"/>
  <c r="H37" i="120"/>
  <c r="H36" i="120"/>
  <c r="H35" i="120"/>
  <c r="H34" i="120"/>
  <c r="H33" i="120"/>
  <c r="H32" i="120"/>
  <c r="H31" i="120"/>
  <c r="H30" i="120"/>
  <c r="H29" i="120"/>
  <c r="H28" i="120"/>
  <c r="H27" i="120"/>
  <c r="H26" i="120"/>
  <c r="H25" i="120"/>
  <c r="H24" i="120"/>
  <c r="H23" i="120"/>
  <c r="H22" i="120"/>
  <c r="H21" i="120"/>
  <c r="H20" i="120"/>
  <c r="H19" i="120"/>
  <c r="H18" i="120"/>
  <c r="H17" i="120"/>
  <c r="H16" i="120"/>
  <c r="H15" i="120"/>
  <c r="H14" i="120"/>
  <c r="H13" i="120"/>
  <c r="H12" i="120"/>
  <c r="H11" i="120"/>
  <c r="H10" i="120"/>
  <c r="H9" i="120"/>
  <c r="H8" i="120"/>
  <c r="H7" i="120"/>
  <c r="C63" i="131" l="1"/>
  <c r="B63" i="131"/>
  <c r="D62" i="131"/>
  <c r="D61" i="131"/>
  <c r="D60" i="131"/>
  <c r="D59" i="131"/>
  <c r="D58" i="131"/>
  <c r="D57" i="131"/>
  <c r="D56" i="131"/>
  <c r="D55" i="131"/>
  <c r="D54" i="131"/>
  <c r="D53" i="131"/>
  <c r="D52" i="131"/>
  <c r="D51" i="131"/>
  <c r="D50" i="131"/>
  <c r="D49" i="131"/>
  <c r="D48" i="131"/>
  <c r="D47" i="131"/>
  <c r="D46" i="131"/>
  <c r="D45" i="131"/>
  <c r="D44" i="131"/>
  <c r="D43" i="131"/>
  <c r="D42" i="131"/>
  <c r="D41" i="131"/>
  <c r="D40" i="131"/>
  <c r="D39" i="131"/>
  <c r="D38" i="131"/>
  <c r="D37" i="131"/>
  <c r="D36" i="131"/>
  <c r="D35" i="131"/>
  <c r="D34" i="131"/>
  <c r="D33" i="131"/>
  <c r="D32" i="131"/>
  <c r="D31" i="131"/>
  <c r="D30" i="131"/>
  <c r="D29" i="131"/>
  <c r="D28" i="131"/>
  <c r="D27" i="131"/>
  <c r="D26" i="131"/>
  <c r="D25" i="131"/>
  <c r="D24" i="131"/>
  <c r="D23" i="131"/>
  <c r="D22" i="131"/>
  <c r="D21" i="131"/>
  <c r="D20" i="131"/>
  <c r="D19" i="131"/>
  <c r="D18" i="131"/>
  <c r="D17" i="131"/>
  <c r="D16" i="131"/>
  <c r="D15" i="131"/>
  <c r="D14" i="131"/>
  <c r="D13" i="131"/>
  <c r="D12" i="131"/>
  <c r="D11" i="131"/>
  <c r="D10" i="131"/>
  <c r="D9" i="131"/>
  <c r="D8" i="131"/>
  <c r="D7" i="131"/>
  <c r="D6" i="131"/>
  <c r="D5" i="131"/>
  <c r="D4" i="131"/>
  <c r="L63" i="130"/>
  <c r="J63" i="130"/>
  <c r="G63" i="130"/>
  <c r="F63" i="130"/>
  <c r="E63" i="130"/>
  <c r="D63" i="130"/>
  <c r="C63" i="130"/>
  <c r="B63" i="130"/>
  <c r="H62" i="130"/>
  <c r="I62" i="130" s="1"/>
  <c r="K62" i="130" s="1"/>
  <c r="M62" i="130" s="1"/>
  <c r="H61" i="130"/>
  <c r="I61" i="130" s="1"/>
  <c r="K61" i="130" s="1"/>
  <c r="M61" i="130" s="1"/>
  <c r="H60" i="130"/>
  <c r="I60" i="130" s="1"/>
  <c r="K60" i="130" s="1"/>
  <c r="M60" i="130" s="1"/>
  <c r="H59" i="130"/>
  <c r="I59" i="130" s="1"/>
  <c r="K59" i="130" s="1"/>
  <c r="M59" i="130" s="1"/>
  <c r="H58" i="130"/>
  <c r="I58" i="130" s="1"/>
  <c r="K58" i="130" s="1"/>
  <c r="M58" i="130" s="1"/>
  <c r="H57" i="130"/>
  <c r="I57" i="130" s="1"/>
  <c r="K57" i="130" s="1"/>
  <c r="M57" i="130" s="1"/>
  <c r="H56" i="130"/>
  <c r="I56" i="130" s="1"/>
  <c r="K56" i="130" s="1"/>
  <c r="M56" i="130" s="1"/>
  <c r="H55" i="130"/>
  <c r="I55" i="130" s="1"/>
  <c r="K55" i="130" s="1"/>
  <c r="M55" i="130" s="1"/>
  <c r="H54" i="130"/>
  <c r="I54" i="130" s="1"/>
  <c r="K54" i="130" s="1"/>
  <c r="M54" i="130" s="1"/>
  <c r="H53" i="130"/>
  <c r="I53" i="130" s="1"/>
  <c r="K53" i="130" s="1"/>
  <c r="M53" i="130" s="1"/>
  <c r="H52" i="130"/>
  <c r="I52" i="130" s="1"/>
  <c r="K52" i="130" s="1"/>
  <c r="M52" i="130" s="1"/>
  <c r="H51" i="130"/>
  <c r="I51" i="130" s="1"/>
  <c r="K51" i="130" s="1"/>
  <c r="M51" i="130" s="1"/>
  <c r="H50" i="130"/>
  <c r="I50" i="130" s="1"/>
  <c r="K50" i="130" s="1"/>
  <c r="M50" i="130" s="1"/>
  <c r="H49" i="130"/>
  <c r="I49" i="130" s="1"/>
  <c r="K49" i="130" s="1"/>
  <c r="M49" i="130" s="1"/>
  <c r="H48" i="130"/>
  <c r="I48" i="130" s="1"/>
  <c r="K48" i="130" s="1"/>
  <c r="M48" i="130" s="1"/>
  <c r="H47" i="130"/>
  <c r="I47" i="130" s="1"/>
  <c r="K47" i="130" s="1"/>
  <c r="M47" i="130" s="1"/>
  <c r="H46" i="130"/>
  <c r="I46" i="130" s="1"/>
  <c r="K46" i="130" s="1"/>
  <c r="M46" i="130" s="1"/>
  <c r="H45" i="130"/>
  <c r="I45" i="130" s="1"/>
  <c r="K45" i="130" s="1"/>
  <c r="M45" i="130" s="1"/>
  <c r="H44" i="130"/>
  <c r="I44" i="130" s="1"/>
  <c r="K44" i="130" s="1"/>
  <c r="M44" i="130" s="1"/>
  <c r="H43" i="130"/>
  <c r="I43" i="130" s="1"/>
  <c r="K43" i="130" s="1"/>
  <c r="M43" i="130" s="1"/>
  <c r="H42" i="130"/>
  <c r="I42" i="130" s="1"/>
  <c r="K42" i="130" s="1"/>
  <c r="M42" i="130" s="1"/>
  <c r="H41" i="130"/>
  <c r="I41" i="130" s="1"/>
  <c r="K41" i="130" s="1"/>
  <c r="M41" i="130" s="1"/>
  <c r="H40" i="130"/>
  <c r="I40" i="130" s="1"/>
  <c r="K40" i="130" s="1"/>
  <c r="M40" i="130" s="1"/>
  <c r="H39" i="130"/>
  <c r="I39" i="130" s="1"/>
  <c r="K39" i="130" s="1"/>
  <c r="M39" i="130" s="1"/>
  <c r="H38" i="130"/>
  <c r="I38" i="130" s="1"/>
  <c r="K38" i="130" s="1"/>
  <c r="M38" i="130" s="1"/>
  <c r="H37" i="130"/>
  <c r="I37" i="130" s="1"/>
  <c r="K37" i="130" s="1"/>
  <c r="M37" i="130" s="1"/>
  <c r="H36" i="130"/>
  <c r="I36" i="130" s="1"/>
  <c r="K36" i="130" s="1"/>
  <c r="M36" i="130" s="1"/>
  <c r="H35" i="130"/>
  <c r="I35" i="130" s="1"/>
  <c r="K35" i="130" s="1"/>
  <c r="M35" i="130" s="1"/>
  <c r="H34" i="130"/>
  <c r="I34" i="130" s="1"/>
  <c r="K34" i="130" s="1"/>
  <c r="M34" i="130" s="1"/>
  <c r="H33" i="130"/>
  <c r="I33" i="130" s="1"/>
  <c r="K33" i="130" s="1"/>
  <c r="M33" i="130" s="1"/>
  <c r="H32" i="130"/>
  <c r="I32" i="130" s="1"/>
  <c r="K32" i="130" s="1"/>
  <c r="M32" i="130" s="1"/>
  <c r="H31" i="130"/>
  <c r="I31" i="130" s="1"/>
  <c r="K31" i="130" s="1"/>
  <c r="M31" i="130" s="1"/>
  <c r="H30" i="130"/>
  <c r="I30" i="130" s="1"/>
  <c r="K30" i="130" s="1"/>
  <c r="M30" i="130" s="1"/>
  <c r="H29" i="130"/>
  <c r="I29" i="130" s="1"/>
  <c r="K29" i="130" s="1"/>
  <c r="M29" i="130" s="1"/>
  <c r="H28" i="130"/>
  <c r="I28" i="130" s="1"/>
  <c r="K28" i="130" s="1"/>
  <c r="M28" i="130" s="1"/>
  <c r="H27" i="130"/>
  <c r="I27" i="130" s="1"/>
  <c r="K27" i="130" s="1"/>
  <c r="M27" i="130" s="1"/>
  <c r="H26" i="130"/>
  <c r="I26" i="130" s="1"/>
  <c r="K26" i="130" s="1"/>
  <c r="M26" i="130" s="1"/>
  <c r="H25" i="130"/>
  <c r="I25" i="130" s="1"/>
  <c r="K25" i="130" s="1"/>
  <c r="M25" i="130" s="1"/>
  <c r="H24" i="130"/>
  <c r="I24" i="130" s="1"/>
  <c r="K24" i="130" s="1"/>
  <c r="M24" i="130" s="1"/>
  <c r="H23" i="130"/>
  <c r="I23" i="130" s="1"/>
  <c r="K23" i="130" s="1"/>
  <c r="M23" i="130" s="1"/>
  <c r="H22" i="130"/>
  <c r="I22" i="130" s="1"/>
  <c r="K22" i="130" s="1"/>
  <c r="M22" i="130" s="1"/>
  <c r="H21" i="130"/>
  <c r="I21" i="130" s="1"/>
  <c r="K21" i="130" s="1"/>
  <c r="M21" i="130" s="1"/>
  <c r="H20" i="130"/>
  <c r="I20" i="130" s="1"/>
  <c r="K20" i="130" s="1"/>
  <c r="M20" i="130" s="1"/>
  <c r="H19" i="130"/>
  <c r="I19" i="130" s="1"/>
  <c r="K19" i="130" s="1"/>
  <c r="M19" i="130" s="1"/>
  <c r="H18" i="130"/>
  <c r="I18" i="130" s="1"/>
  <c r="K18" i="130" s="1"/>
  <c r="M18" i="130" s="1"/>
  <c r="H17" i="130"/>
  <c r="I17" i="130" s="1"/>
  <c r="K17" i="130" s="1"/>
  <c r="M17" i="130" s="1"/>
  <c r="H16" i="130"/>
  <c r="I16" i="130" s="1"/>
  <c r="K16" i="130" s="1"/>
  <c r="M16" i="130" s="1"/>
  <c r="H15" i="130"/>
  <c r="I15" i="130" s="1"/>
  <c r="K15" i="130" s="1"/>
  <c r="M15" i="130" s="1"/>
  <c r="H14" i="130"/>
  <c r="I14" i="130" s="1"/>
  <c r="K14" i="130" s="1"/>
  <c r="M14" i="130" s="1"/>
  <c r="H13" i="130"/>
  <c r="I13" i="130" s="1"/>
  <c r="K13" i="130" s="1"/>
  <c r="M13" i="130" s="1"/>
  <c r="H12" i="130"/>
  <c r="I12" i="130" s="1"/>
  <c r="K12" i="130" s="1"/>
  <c r="M12" i="130" s="1"/>
  <c r="H11" i="130"/>
  <c r="I11" i="130" s="1"/>
  <c r="K11" i="130" s="1"/>
  <c r="M11" i="130" s="1"/>
  <c r="H10" i="130"/>
  <c r="I10" i="130" s="1"/>
  <c r="K10" i="130" s="1"/>
  <c r="M10" i="130" s="1"/>
  <c r="H9" i="130"/>
  <c r="I9" i="130" s="1"/>
  <c r="K9" i="130" s="1"/>
  <c r="M9" i="130" s="1"/>
  <c r="H8" i="130"/>
  <c r="I8" i="130" s="1"/>
  <c r="K8" i="130" s="1"/>
  <c r="M8" i="130" s="1"/>
  <c r="H7" i="130"/>
  <c r="I7" i="130" s="1"/>
  <c r="K7" i="130" s="1"/>
  <c r="M7" i="130" s="1"/>
  <c r="H6" i="130"/>
  <c r="I6" i="130" s="1"/>
  <c r="K6" i="130" s="1"/>
  <c r="M6" i="130" s="1"/>
  <c r="H5" i="130"/>
  <c r="H63" i="130" s="1"/>
  <c r="I65" i="120"/>
  <c r="D63" i="131" l="1"/>
  <c r="I5" i="130"/>
  <c r="I63" i="130" l="1"/>
  <c r="K5" i="130"/>
  <c r="M5" i="130" l="1"/>
  <c r="M63" i="130" s="1"/>
  <c r="K63" i="130"/>
  <c r="C63" i="129" l="1"/>
  <c r="C62" i="129"/>
  <c r="C61" i="129"/>
  <c r="C60" i="129"/>
  <c r="C59" i="129"/>
  <c r="C58" i="129"/>
  <c r="C57" i="129"/>
  <c r="C56" i="129"/>
  <c r="C55" i="129"/>
  <c r="C54" i="129"/>
  <c r="C53" i="129"/>
  <c r="C52" i="129"/>
  <c r="C51" i="129"/>
  <c r="C50" i="129"/>
  <c r="C49" i="129"/>
  <c r="C48" i="129"/>
  <c r="C47" i="129"/>
  <c r="C46" i="129"/>
  <c r="C45" i="129"/>
  <c r="C44" i="129"/>
  <c r="C43" i="129"/>
  <c r="C42" i="129"/>
  <c r="C41" i="129"/>
  <c r="C40" i="129"/>
  <c r="C39" i="129"/>
  <c r="C38" i="129"/>
  <c r="C37" i="129"/>
  <c r="C36" i="129"/>
  <c r="C35" i="129"/>
  <c r="C34" i="129"/>
  <c r="C33" i="129"/>
  <c r="C32" i="129"/>
  <c r="C31" i="129"/>
  <c r="C30" i="129"/>
  <c r="C29" i="129"/>
  <c r="C28" i="129"/>
  <c r="C27" i="129"/>
  <c r="C26" i="129"/>
  <c r="C25" i="129"/>
  <c r="C24" i="129"/>
  <c r="C23" i="129"/>
  <c r="C22" i="129"/>
  <c r="C21" i="129"/>
  <c r="C20" i="129"/>
  <c r="C19" i="129"/>
  <c r="C18" i="129"/>
  <c r="C17" i="129"/>
  <c r="C16" i="129"/>
  <c r="C15" i="129"/>
  <c r="C14" i="129"/>
  <c r="C13" i="129"/>
  <c r="C12" i="129"/>
  <c r="C11" i="129"/>
  <c r="C10" i="129"/>
  <c r="C9" i="129"/>
  <c r="C8" i="129"/>
  <c r="C7" i="129"/>
  <c r="C6" i="129"/>
  <c r="D64" i="129"/>
  <c r="L64" i="129"/>
  <c r="J64" i="129"/>
  <c r="I64" i="129"/>
  <c r="H63" i="129"/>
  <c r="E63" i="129"/>
  <c r="H62" i="129"/>
  <c r="E62" i="129"/>
  <c r="H61" i="129"/>
  <c r="E61" i="129"/>
  <c r="H60" i="129"/>
  <c r="E60" i="129"/>
  <c r="H59" i="129"/>
  <c r="E59" i="129"/>
  <c r="H58" i="129"/>
  <c r="E58" i="129"/>
  <c r="H57" i="129"/>
  <c r="E57" i="129"/>
  <c r="H56" i="129"/>
  <c r="E56" i="129"/>
  <c r="H55" i="129"/>
  <c r="E55" i="129"/>
  <c r="H54" i="129"/>
  <c r="E54" i="129"/>
  <c r="H53" i="129"/>
  <c r="E53" i="129"/>
  <c r="H52" i="129"/>
  <c r="E52" i="129"/>
  <c r="H51" i="129"/>
  <c r="E51" i="129"/>
  <c r="H50" i="129"/>
  <c r="E50" i="129"/>
  <c r="H49" i="129"/>
  <c r="E49" i="129"/>
  <c r="H48" i="129"/>
  <c r="E48" i="129"/>
  <c r="H47" i="129"/>
  <c r="E47" i="129"/>
  <c r="H46" i="129"/>
  <c r="E46" i="129"/>
  <c r="H45" i="129"/>
  <c r="E45" i="129"/>
  <c r="H44" i="129"/>
  <c r="E44" i="129"/>
  <c r="H43" i="129"/>
  <c r="E43" i="129"/>
  <c r="H42" i="129"/>
  <c r="E42" i="129"/>
  <c r="H41" i="129"/>
  <c r="E41" i="129"/>
  <c r="H40" i="129"/>
  <c r="E40" i="129"/>
  <c r="H39" i="129"/>
  <c r="E39" i="129"/>
  <c r="H38" i="129"/>
  <c r="E38" i="129"/>
  <c r="H37" i="129"/>
  <c r="E37" i="129"/>
  <c r="H36" i="129"/>
  <c r="E36" i="129"/>
  <c r="H35" i="129"/>
  <c r="E35" i="129"/>
  <c r="H34" i="129"/>
  <c r="E34" i="129"/>
  <c r="H33" i="129"/>
  <c r="E33" i="129"/>
  <c r="H32" i="129"/>
  <c r="E32" i="129"/>
  <c r="H31" i="129"/>
  <c r="E31" i="129"/>
  <c r="H30" i="129"/>
  <c r="E30" i="129"/>
  <c r="H29" i="129"/>
  <c r="E29" i="129"/>
  <c r="H28" i="129"/>
  <c r="E28" i="129"/>
  <c r="H27" i="129"/>
  <c r="E27" i="129"/>
  <c r="H26" i="129"/>
  <c r="E26" i="129"/>
  <c r="H25" i="129"/>
  <c r="E25" i="129"/>
  <c r="H24" i="129"/>
  <c r="E24" i="129"/>
  <c r="H23" i="129"/>
  <c r="E23" i="129"/>
  <c r="H22" i="129"/>
  <c r="E22" i="129"/>
  <c r="H21" i="129"/>
  <c r="E21" i="129"/>
  <c r="H20" i="129"/>
  <c r="E20" i="129"/>
  <c r="H19" i="129"/>
  <c r="E19" i="129"/>
  <c r="H18" i="129"/>
  <c r="E18" i="129"/>
  <c r="H17" i="129"/>
  <c r="E17" i="129"/>
  <c r="H16" i="129"/>
  <c r="E16" i="129"/>
  <c r="H15" i="129"/>
  <c r="E15" i="129"/>
  <c r="H14" i="129"/>
  <c r="E14" i="129"/>
  <c r="H13" i="129"/>
  <c r="E13" i="129"/>
  <c r="H12" i="129"/>
  <c r="E12" i="129"/>
  <c r="H11" i="129"/>
  <c r="E11" i="129"/>
  <c r="H10" i="129"/>
  <c r="E10" i="129"/>
  <c r="H9" i="129"/>
  <c r="E9" i="129"/>
  <c r="H8" i="129"/>
  <c r="E8" i="129"/>
  <c r="H7" i="129"/>
  <c r="E7" i="129"/>
  <c r="H6" i="129"/>
  <c r="E6" i="129"/>
  <c r="C64" i="129" l="1"/>
  <c r="H64" i="129"/>
  <c r="E64" i="129"/>
  <c r="H65" i="120"/>
  <c r="G64" i="120" l="1"/>
  <c r="G63" i="120"/>
  <c r="G62" i="120"/>
  <c r="G61" i="120"/>
  <c r="G60" i="120"/>
  <c r="G59" i="120"/>
  <c r="G58" i="120"/>
  <c r="G57" i="120"/>
  <c r="G56" i="120"/>
  <c r="G55" i="120"/>
  <c r="G54" i="120"/>
  <c r="G53" i="120"/>
  <c r="G52" i="120"/>
  <c r="G51" i="120"/>
  <c r="G50" i="120"/>
  <c r="G49" i="120"/>
  <c r="G48" i="120"/>
  <c r="G47" i="120"/>
  <c r="G46" i="120"/>
  <c r="G45" i="120"/>
  <c r="G44" i="120"/>
  <c r="G43" i="120"/>
  <c r="G42" i="120"/>
  <c r="G41" i="120"/>
  <c r="G40" i="120"/>
  <c r="G39" i="120"/>
  <c r="G38" i="120"/>
  <c r="G37" i="120"/>
  <c r="G36" i="120"/>
  <c r="G35" i="120"/>
  <c r="G34" i="120"/>
  <c r="G33" i="120"/>
  <c r="G32" i="120"/>
  <c r="G31" i="120"/>
  <c r="G30" i="120"/>
  <c r="G29" i="120"/>
  <c r="G28" i="120"/>
  <c r="G27" i="120"/>
  <c r="G26" i="120"/>
  <c r="G25" i="120"/>
  <c r="G24" i="120"/>
  <c r="G23" i="120"/>
  <c r="G22" i="120"/>
  <c r="G21" i="120"/>
  <c r="G20" i="120"/>
  <c r="G19" i="120"/>
  <c r="G18" i="120"/>
  <c r="G17" i="120"/>
  <c r="G16" i="120"/>
  <c r="G15" i="120"/>
  <c r="G14" i="120"/>
  <c r="G13" i="120"/>
  <c r="G12" i="120"/>
  <c r="G11" i="120"/>
  <c r="G10" i="120"/>
  <c r="G9" i="120"/>
  <c r="G8" i="120"/>
  <c r="G7" i="120"/>
  <c r="D65" i="128"/>
  <c r="E64" i="128" s="1"/>
  <c r="F64" i="128" s="1"/>
  <c r="E63" i="128"/>
  <c r="F63" i="128" s="1"/>
  <c r="E61" i="128"/>
  <c r="F61" i="128" s="1"/>
  <c r="E59" i="128"/>
  <c r="F59" i="128" s="1"/>
  <c r="E57" i="128"/>
  <c r="F57" i="128" s="1"/>
  <c r="E55" i="128"/>
  <c r="F55" i="128" s="1"/>
  <c r="E53" i="128"/>
  <c r="F53" i="128" s="1"/>
  <c r="E51" i="128"/>
  <c r="F51" i="128" s="1"/>
  <c r="E50" i="128"/>
  <c r="F50" i="128" s="1"/>
  <c r="E49" i="128"/>
  <c r="F49" i="128" s="1"/>
  <c r="E48" i="128"/>
  <c r="F48" i="128" s="1"/>
  <c r="E47" i="128"/>
  <c r="F47" i="128" s="1"/>
  <c r="E46" i="128"/>
  <c r="F46" i="128" s="1"/>
  <c r="E45" i="128"/>
  <c r="F45" i="128" s="1"/>
  <c r="E44" i="128"/>
  <c r="F44" i="128" s="1"/>
  <c r="E43" i="128"/>
  <c r="F43" i="128" s="1"/>
  <c r="E42" i="128"/>
  <c r="F42" i="128" s="1"/>
  <c r="E41" i="128"/>
  <c r="F41" i="128" s="1"/>
  <c r="E40" i="128"/>
  <c r="F40" i="128" s="1"/>
  <c r="E39" i="128"/>
  <c r="F39" i="128" s="1"/>
  <c r="E38" i="128"/>
  <c r="F38" i="128" s="1"/>
  <c r="E37" i="128"/>
  <c r="F37" i="128" s="1"/>
  <c r="E36" i="128"/>
  <c r="F36" i="128" s="1"/>
  <c r="E35" i="128"/>
  <c r="F35" i="128" s="1"/>
  <c r="E34" i="128"/>
  <c r="F34" i="128" s="1"/>
  <c r="E33" i="128"/>
  <c r="F33" i="128" s="1"/>
  <c r="E32" i="128"/>
  <c r="F32" i="128" s="1"/>
  <c r="E31" i="128"/>
  <c r="F31" i="128" s="1"/>
  <c r="E30" i="128"/>
  <c r="F30" i="128" s="1"/>
  <c r="E29" i="128"/>
  <c r="F29" i="128" s="1"/>
  <c r="E28" i="128"/>
  <c r="F28" i="128" s="1"/>
  <c r="E27" i="128"/>
  <c r="F27" i="128" s="1"/>
  <c r="E26" i="128"/>
  <c r="F26" i="128" s="1"/>
  <c r="E25" i="128"/>
  <c r="F25" i="128" s="1"/>
  <c r="E24" i="128"/>
  <c r="F24" i="128" s="1"/>
  <c r="E23" i="128"/>
  <c r="F23" i="128" s="1"/>
  <c r="E22" i="128"/>
  <c r="F22" i="128" s="1"/>
  <c r="E21" i="128"/>
  <c r="F21" i="128" s="1"/>
  <c r="E20" i="128"/>
  <c r="F20" i="128" s="1"/>
  <c r="E19" i="128"/>
  <c r="F19" i="128" s="1"/>
  <c r="E18" i="128"/>
  <c r="F18" i="128" s="1"/>
  <c r="E17" i="128"/>
  <c r="F17" i="128" s="1"/>
  <c r="E16" i="128"/>
  <c r="F16" i="128" s="1"/>
  <c r="E15" i="128"/>
  <c r="F15" i="128" s="1"/>
  <c r="E14" i="128"/>
  <c r="F14" i="128" s="1"/>
  <c r="E13" i="128"/>
  <c r="F13" i="128" s="1"/>
  <c r="E12" i="128"/>
  <c r="F12" i="128" s="1"/>
  <c r="E11" i="128"/>
  <c r="F11" i="128" s="1"/>
  <c r="E10" i="128"/>
  <c r="F10" i="128" s="1"/>
  <c r="E9" i="128"/>
  <c r="F9" i="128" s="1"/>
  <c r="E8" i="128"/>
  <c r="F8" i="128" s="1"/>
  <c r="E7" i="128"/>
  <c r="F7" i="128" s="1"/>
  <c r="E52" i="128" l="1"/>
  <c r="F52" i="128" s="1"/>
  <c r="F66" i="128" s="1"/>
  <c r="E54" i="128"/>
  <c r="F54" i="128" s="1"/>
  <c r="E56" i="128"/>
  <c r="F56" i="128" s="1"/>
  <c r="E58" i="128"/>
  <c r="F58" i="128" s="1"/>
  <c r="E60" i="128"/>
  <c r="F60" i="128" s="1"/>
  <c r="E62" i="128"/>
  <c r="F62" i="128" s="1"/>
  <c r="F63" i="121" l="1"/>
  <c r="F63" i="122" l="1"/>
  <c r="D64" i="120"/>
  <c r="D63" i="120"/>
  <c r="D62" i="120"/>
  <c r="D61" i="120"/>
  <c r="D60" i="120"/>
  <c r="D59" i="120"/>
  <c r="D58" i="120"/>
  <c r="D57" i="120"/>
  <c r="D56" i="120"/>
  <c r="D55" i="120"/>
  <c r="D54" i="120"/>
  <c r="D53" i="120"/>
  <c r="D52" i="120"/>
  <c r="D51" i="120"/>
  <c r="D50" i="120"/>
  <c r="D49" i="120"/>
  <c r="D48" i="120"/>
  <c r="D47" i="120"/>
  <c r="D46" i="120"/>
  <c r="D45" i="120"/>
  <c r="D44" i="120"/>
  <c r="D43" i="120"/>
  <c r="D42" i="120"/>
  <c r="D41" i="120"/>
  <c r="D40" i="120"/>
  <c r="D39" i="120"/>
  <c r="D38" i="120"/>
  <c r="D37" i="120"/>
  <c r="D36" i="120"/>
  <c r="D35" i="120"/>
  <c r="D34" i="120"/>
  <c r="D33" i="120"/>
  <c r="D32" i="120"/>
  <c r="D31" i="120"/>
  <c r="D30" i="120"/>
  <c r="D29" i="120"/>
  <c r="D28" i="120"/>
  <c r="D27" i="120"/>
  <c r="D26" i="120"/>
  <c r="D25" i="120"/>
  <c r="D24" i="120"/>
  <c r="D23" i="120"/>
  <c r="D22" i="120"/>
  <c r="D21" i="120"/>
  <c r="D20" i="120"/>
  <c r="D19" i="120"/>
  <c r="D18" i="120"/>
  <c r="D17" i="120"/>
  <c r="D16" i="120"/>
  <c r="D15" i="120"/>
  <c r="D14" i="120"/>
  <c r="D13" i="120"/>
  <c r="D12" i="120"/>
  <c r="D11" i="120"/>
  <c r="D10" i="120"/>
  <c r="D9" i="120"/>
  <c r="D8" i="120"/>
  <c r="D7" i="120"/>
  <c r="G63" i="122"/>
  <c r="C63" i="122"/>
  <c r="B63" i="122"/>
  <c r="H62" i="122"/>
  <c r="M62" i="122" s="1"/>
  <c r="D62" i="122"/>
  <c r="H61" i="122"/>
  <c r="M61" i="122" s="1"/>
  <c r="D61" i="122"/>
  <c r="H60" i="122"/>
  <c r="M60" i="122" s="1"/>
  <c r="D60" i="122"/>
  <c r="H59" i="122"/>
  <c r="M59" i="122" s="1"/>
  <c r="D59" i="122"/>
  <c r="H58" i="122"/>
  <c r="M58" i="122" s="1"/>
  <c r="D58" i="122"/>
  <c r="H57" i="122"/>
  <c r="M57" i="122" s="1"/>
  <c r="D57" i="122"/>
  <c r="H56" i="122"/>
  <c r="M56" i="122" s="1"/>
  <c r="D56" i="122"/>
  <c r="H55" i="122"/>
  <c r="M55" i="122" s="1"/>
  <c r="D55" i="122"/>
  <c r="H54" i="122"/>
  <c r="M54" i="122" s="1"/>
  <c r="D54" i="122"/>
  <c r="H53" i="122"/>
  <c r="M53" i="122" s="1"/>
  <c r="D53" i="122"/>
  <c r="H52" i="122"/>
  <c r="M52" i="122" s="1"/>
  <c r="D52" i="122"/>
  <c r="H51" i="122"/>
  <c r="M51" i="122" s="1"/>
  <c r="D51" i="122"/>
  <c r="H50" i="122"/>
  <c r="M50" i="122" s="1"/>
  <c r="D50" i="122"/>
  <c r="H49" i="122"/>
  <c r="M49" i="122" s="1"/>
  <c r="D49" i="122"/>
  <c r="H48" i="122"/>
  <c r="M48" i="122" s="1"/>
  <c r="D48" i="122"/>
  <c r="H47" i="122"/>
  <c r="M47" i="122" s="1"/>
  <c r="D47" i="122"/>
  <c r="H46" i="122"/>
  <c r="M46" i="122" s="1"/>
  <c r="D46" i="122"/>
  <c r="H45" i="122"/>
  <c r="M45" i="122" s="1"/>
  <c r="D45" i="122"/>
  <c r="H44" i="122"/>
  <c r="M44" i="122" s="1"/>
  <c r="D44" i="122"/>
  <c r="H43" i="122"/>
  <c r="M43" i="122" s="1"/>
  <c r="D43" i="122"/>
  <c r="H42" i="122"/>
  <c r="M42" i="122" s="1"/>
  <c r="D42" i="122"/>
  <c r="H41" i="122"/>
  <c r="M41" i="122" s="1"/>
  <c r="D41" i="122"/>
  <c r="H40" i="122"/>
  <c r="M40" i="122" s="1"/>
  <c r="D40" i="122"/>
  <c r="H39" i="122"/>
  <c r="M39" i="122" s="1"/>
  <c r="D39" i="122"/>
  <c r="H38" i="122"/>
  <c r="M38" i="122" s="1"/>
  <c r="D38" i="122"/>
  <c r="H37" i="122"/>
  <c r="M37" i="122" s="1"/>
  <c r="D37" i="122"/>
  <c r="H36" i="122"/>
  <c r="M36" i="122" s="1"/>
  <c r="D36" i="122"/>
  <c r="H35" i="122"/>
  <c r="M35" i="122" s="1"/>
  <c r="D35" i="122"/>
  <c r="H34" i="122"/>
  <c r="M34" i="122" s="1"/>
  <c r="D34" i="122"/>
  <c r="H33" i="122"/>
  <c r="M33" i="122" s="1"/>
  <c r="D33" i="122"/>
  <c r="H32" i="122"/>
  <c r="M32" i="122" s="1"/>
  <c r="D32" i="122"/>
  <c r="H31" i="122"/>
  <c r="M31" i="122" s="1"/>
  <c r="D31" i="122"/>
  <c r="H30" i="122"/>
  <c r="M30" i="122" s="1"/>
  <c r="D30" i="122"/>
  <c r="H29" i="122"/>
  <c r="M29" i="122" s="1"/>
  <c r="D29" i="122"/>
  <c r="H28" i="122"/>
  <c r="M28" i="122" s="1"/>
  <c r="D28" i="122"/>
  <c r="H27" i="122"/>
  <c r="M27" i="122" s="1"/>
  <c r="D27" i="122"/>
  <c r="H26" i="122"/>
  <c r="M26" i="122" s="1"/>
  <c r="D26" i="122"/>
  <c r="H25" i="122"/>
  <c r="M25" i="122" s="1"/>
  <c r="D25" i="122"/>
  <c r="H24" i="122"/>
  <c r="M24" i="122" s="1"/>
  <c r="D24" i="122"/>
  <c r="H23" i="122"/>
  <c r="M23" i="122" s="1"/>
  <c r="D23" i="122"/>
  <c r="H22" i="122"/>
  <c r="M22" i="122" s="1"/>
  <c r="D22" i="122"/>
  <c r="H21" i="122"/>
  <c r="M21" i="122" s="1"/>
  <c r="D21" i="122"/>
  <c r="H20" i="122"/>
  <c r="M20" i="122" s="1"/>
  <c r="D20" i="122"/>
  <c r="H19" i="122"/>
  <c r="M19" i="122" s="1"/>
  <c r="D19" i="122"/>
  <c r="H18" i="122"/>
  <c r="M18" i="122" s="1"/>
  <c r="D18" i="122"/>
  <c r="H17" i="122"/>
  <c r="M17" i="122" s="1"/>
  <c r="D17" i="122"/>
  <c r="H16" i="122"/>
  <c r="M16" i="122" s="1"/>
  <c r="D16" i="122"/>
  <c r="H15" i="122"/>
  <c r="M15" i="122" s="1"/>
  <c r="D15" i="122"/>
  <c r="H14" i="122"/>
  <c r="M14" i="122" s="1"/>
  <c r="D14" i="122"/>
  <c r="H13" i="122"/>
  <c r="M13" i="122" s="1"/>
  <c r="D13" i="122"/>
  <c r="H12" i="122"/>
  <c r="M12" i="122" s="1"/>
  <c r="D12" i="122"/>
  <c r="H11" i="122"/>
  <c r="M11" i="122" s="1"/>
  <c r="D11" i="122"/>
  <c r="H10" i="122"/>
  <c r="M10" i="122" s="1"/>
  <c r="D10" i="122"/>
  <c r="H9" i="122"/>
  <c r="M9" i="122" s="1"/>
  <c r="D9" i="122"/>
  <c r="H8" i="122"/>
  <c r="M8" i="122" s="1"/>
  <c r="D8" i="122"/>
  <c r="H7" i="122"/>
  <c r="M7" i="122" s="1"/>
  <c r="D7" i="122"/>
  <c r="H6" i="122"/>
  <c r="M6" i="122" s="1"/>
  <c r="D6" i="122"/>
  <c r="H5" i="122"/>
  <c r="M5" i="122" s="1"/>
  <c r="M63" i="122" s="1"/>
  <c r="N63" i="122" s="1"/>
  <c r="D5" i="122"/>
  <c r="D63" i="122" s="1"/>
  <c r="H63" i="122" l="1"/>
  <c r="L5" i="122"/>
  <c r="L7" i="122"/>
  <c r="L8" i="122"/>
  <c r="L9" i="122"/>
  <c r="L10" i="122"/>
  <c r="L11" i="122"/>
  <c r="L12" i="122"/>
  <c r="L13" i="122"/>
  <c r="L14" i="122"/>
  <c r="L15" i="122"/>
  <c r="L16" i="122"/>
  <c r="L17" i="122"/>
  <c r="L18" i="122"/>
  <c r="L19" i="122"/>
  <c r="L20" i="122"/>
  <c r="L21" i="122"/>
  <c r="L22" i="122"/>
  <c r="L23" i="122"/>
  <c r="L24" i="122"/>
  <c r="L25" i="122"/>
  <c r="L26" i="122"/>
  <c r="L27" i="122"/>
  <c r="L28" i="122"/>
  <c r="L29" i="122"/>
  <c r="L30" i="122"/>
  <c r="L31" i="122"/>
  <c r="L32" i="122"/>
  <c r="L33" i="122"/>
  <c r="L34" i="122"/>
  <c r="L35" i="122"/>
  <c r="L36" i="122"/>
  <c r="L37" i="122"/>
  <c r="L38" i="122"/>
  <c r="L39" i="122"/>
  <c r="L40" i="122"/>
  <c r="L41" i="122"/>
  <c r="L42" i="122"/>
  <c r="L43" i="122"/>
  <c r="L44" i="122"/>
  <c r="L45" i="122"/>
  <c r="L46" i="122"/>
  <c r="L47" i="122"/>
  <c r="L48" i="122"/>
  <c r="L49" i="122"/>
  <c r="L50" i="122"/>
  <c r="L51" i="122"/>
  <c r="L52" i="122"/>
  <c r="L53" i="122"/>
  <c r="L54" i="122"/>
  <c r="L55" i="122"/>
  <c r="L56" i="122"/>
  <c r="L57" i="122"/>
  <c r="L58" i="122"/>
  <c r="L59" i="122"/>
  <c r="L60" i="122"/>
  <c r="L61" i="122"/>
  <c r="L62" i="122"/>
  <c r="L6" i="122"/>
  <c r="H59" i="121" l="1"/>
  <c r="K59" i="121" s="1"/>
  <c r="C61" i="120" s="1"/>
  <c r="H55" i="121"/>
  <c r="K55" i="121" s="1"/>
  <c r="C57" i="120" s="1"/>
  <c r="H43" i="121"/>
  <c r="K43" i="121" s="1"/>
  <c r="C45" i="120" s="1"/>
  <c r="H39" i="121"/>
  <c r="K39" i="121" s="1"/>
  <c r="C41" i="120" s="1"/>
  <c r="H35" i="121"/>
  <c r="K35" i="121" s="1"/>
  <c r="C37" i="120" s="1"/>
  <c r="H27" i="121"/>
  <c r="K27" i="121" s="1"/>
  <c r="C29" i="120" s="1"/>
  <c r="H23" i="121"/>
  <c r="K23" i="121" s="1"/>
  <c r="C25" i="120" s="1"/>
  <c r="H19" i="121"/>
  <c r="K19" i="121" s="1"/>
  <c r="C21" i="120" s="1"/>
  <c r="H11" i="121"/>
  <c r="K11" i="121" s="1"/>
  <c r="C13" i="120" s="1"/>
  <c r="H7" i="121"/>
  <c r="K7" i="121" s="1"/>
  <c r="C9" i="120" s="1"/>
  <c r="J63" i="121"/>
  <c r="J64" i="121" s="1"/>
  <c r="I63" i="121"/>
  <c r="G63" i="121"/>
  <c r="E63" i="121"/>
  <c r="D63" i="121"/>
  <c r="C63" i="121"/>
  <c r="B63" i="121"/>
  <c r="H62" i="121"/>
  <c r="K62" i="121" s="1"/>
  <c r="C64" i="120" s="1"/>
  <c r="H61" i="121"/>
  <c r="K61" i="121" s="1"/>
  <c r="C63" i="120" s="1"/>
  <c r="H60" i="121"/>
  <c r="K60" i="121" s="1"/>
  <c r="C62" i="120" s="1"/>
  <c r="H58" i="121"/>
  <c r="K58" i="121" s="1"/>
  <c r="C60" i="120" s="1"/>
  <c r="H57" i="121"/>
  <c r="K57" i="121" s="1"/>
  <c r="C59" i="120" s="1"/>
  <c r="H56" i="121"/>
  <c r="K56" i="121" s="1"/>
  <c r="C58" i="120" s="1"/>
  <c r="H54" i="121"/>
  <c r="K54" i="121" s="1"/>
  <c r="C56" i="120" s="1"/>
  <c r="H53" i="121"/>
  <c r="K53" i="121" s="1"/>
  <c r="C55" i="120" s="1"/>
  <c r="H52" i="121"/>
  <c r="K52" i="121" s="1"/>
  <c r="C54" i="120" s="1"/>
  <c r="H51" i="121"/>
  <c r="K51" i="121" s="1"/>
  <c r="C53" i="120" s="1"/>
  <c r="H50" i="121"/>
  <c r="K50" i="121" s="1"/>
  <c r="C52" i="120" s="1"/>
  <c r="H49" i="121"/>
  <c r="K49" i="121" s="1"/>
  <c r="C51" i="120" s="1"/>
  <c r="H48" i="121"/>
  <c r="K48" i="121" s="1"/>
  <c r="C50" i="120" s="1"/>
  <c r="H47" i="121"/>
  <c r="K47" i="121" s="1"/>
  <c r="C49" i="120" s="1"/>
  <c r="H46" i="121"/>
  <c r="K46" i="121" s="1"/>
  <c r="C48" i="120" s="1"/>
  <c r="H45" i="121"/>
  <c r="K45" i="121" s="1"/>
  <c r="C47" i="120" s="1"/>
  <c r="H44" i="121"/>
  <c r="K44" i="121" s="1"/>
  <c r="C46" i="120" s="1"/>
  <c r="H42" i="121"/>
  <c r="K42" i="121" s="1"/>
  <c r="C44" i="120" s="1"/>
  <c r="H41" i="121"/>
  <c r="K41" i="121" s="1"/>
  <c r="C43" i="120" s="1"/>
  <c r="H40" i="121"/>
  <c r="K40" i="121" s="1"/>
  <c r="C42" i="120" s="1"/>
  <c r="H38" i="121"/>
  <c r="K38" i="121" s="1"/>
  <c r="C40" i="120" s="1"/>
  <c r="H37" i="121"/>
  <c r="K37" i="121" s="1"/>
  <c r="C39" i="120" s="1"/>
  <c r="H36" i="121"/>
  <c r="K36" i="121" s="1"/>
  <c r="C38" i="120" s="1"/>
  <c r="H34" i="121"/>
  <c r="K34" i="121" s="1"/>
  <c r="C36" i="120" s="1"/>
  <c r="H33" i="121"/>
  <c r="K33" i="121" s="1"/>
  <c r="C35" i="120" s="1"/>
  <c r="H32" i="121"/>
  <c r="K32" i="121" s="1"/>
  <c r="C34" i="120" s="1"/>
  <c r="H31" i="121"/>
  <c r="K31" i="121" s="1"/>
  <c r="C33" i="120" s="1"/>
  <c r="H30" i="121"/>
  <c r="K30" i="121" s="1"/>
  <c r="C32" i="120" s="1"/>
  <c r="H29" i="121"/>
  <c r="K29" i="121" s="1"/>
  <c r="C31" i="120" s="1"/>
  <c r="H28" i="121"/>
  <c r="K28" i="121" s="1"/>
  <c r="C30" i="120" s="1"/>
  <c r="H26" i="121"/>
  <c r="K26" i="121" s="1"/>
  <c r="C28" i="120" s="1"/>
  <c r="H25" i="121"/>
  <c r="K25" i="121" s="1"/>
  <c r="C27" i="120" s="1"/>
  <c r="H24" i="121"/>
  <c r="K24" i="121" s="1"/>
  <c r="C26" i="120" s="1"/>
  <c r="H22" i="121"/>
  <c r="K22" i="121" s="1"/>
  <c r="C24" i="120" s="1"/>
  <c r="H21" i="121"/>
  <c r="K21" i="121" s="1"/>
  <c r="C23" i="120" s="1"/>
  <c r="H20" i="121"/>
  <c r="K20" i="121" s="1"/>
  <c r="C22" i="120" s="1"/>
  <c r="H18" i="121"/>
  <c r="K18" i="121" s="1"/>
  <c r="C20" i="120" s="1"/>
  <c r="H17" i="121"/>
  <c r="K17" i="121" s="1"/>
  <c r="C19" i="120" s="1"/>
  <c r="H16" i="121"/>
  <c r="K16" i="121" s="1"/>
  <c r="C18" i="120" s="1"/>
  <c r="H15" i="121"/>
  <c r="K15" i="121" s="1"/>
  <c r="C17" i="120" s="1"/>
  <c r="H14" i="121"/>
  <c r="K14" i="121" s="1"/>
  <c r="C16" i="120" s="1"/>
  <c r="H13" i="121"/>
  <c r="K13" i="121" s="1"/>
  <c r="C15" i="120" s="1"/>
  <c r="H12" i="121"/>
  <c r="K12" i="121" s="1"/>
  <c r="C14" i="120" s="1"/>
  <c r="H10" i="121"/>
  <c r="K10" i="121" s="1"/>
  <c r="C12" i="120" s="1"/>
  <c r="H9" i="121"/>
  <c r="K9" i="121" s="1"/>
  <c r="C11" i="120" s="1"/>
  <c r="H8" i="121"/>
  <c r="K8" i="121" s="1"/>
  <c r="C10" i="120" s="1"/>
  <c r="H6" i="121"/>
  <c r="K6" i="121" s="1"/>
  <c r="C8" i="120" s="1"/>
  <c r="H5" i="121"/>
  <c r="H63" i="121" l="1"/>
  <c r="K5" i="121"/>
  <c r="C7" i="120" s="1"/>
  <c r="K63" i="121" l="1"/>
  <c r="G65" i="120" l="1"/>
  <c r="D65" i="120"/>
  <c r="EP65" i="97" l="1"/>
  <c r="F64" i="91" l="1"/>
  <c r="E64" i="91"/>
  <c r="N62" i="67" l="1"/>
  <c r="N61" i="67"/>
  <c r="N60" i="67"/>
  <c r="N59" i="67"/>
  <c r="N58" i="67"/>
  <c r="N57" i="67"/>
  <c r="N56" i="67"/>
  <c r="N55" i="67"/>
  <c r="N54" i="67"/>
  <c r="N53" i="67"/>
  <c r="N52" i="67"/>
  <c r="N51" i="67"/>
  <c r="N50" i="67"/>
  <c r="N49" i="67"/>
  <c r="N48" i="67"/>
  <c r="N47" i="67"/>
  <c r="N46" i="67"/>
  <c r="N45" i="67"/>
  <c r="N44" i="67"/>
  <c r="N43" i="67"/>
  <c r="N42" i="67"/>
  <c r="N41" i="67"/>
  <c r="N40" i="67"/>
  <c r="N39" i="67"/>
  <c r="N38" i="67"/>
  <c r="N37" i="67"/>
  <c r="N36" i="67"/>
  <c r="N35" i="67"/>
  <c r="N34" i="67"/>
  <c r="N33" i="67"/>
  <c r="N32" i="67"/>
  <c r="N31" i="67"/>
  <c r="N30" i="67"/>
  <c r="N29" i="67"/>
  <c r="N28" i="67"/>
  <c r="N27" i="67"/>
  <c r="N26" i="67"/>
  <c r="N25" i="67"/>
  <c r="N24" i="67"/>
  <c r="N23" i="67"/>
  <c r="N22" i="67"/>
  <c r="N21" i="67"/>
  <c r="N20" i="67"/>
  <c r="N19" i="67"/>
  <c r="N18" i="67"/>
  <c r="N17" i="67"/>
  <c r="N16" i="67"/>
  <c r="N15" i="67"/>
  <c r="N14" i="67"/>
  <c r="N13" i="67"/>
  <c r="N12" i="67"/>
  <c r="N11" i="67"/>
  <c r="N10" i="67"/>
  <c r="N9" i="67"/>
  <c r="N8" i="67"/>
  <c r="N7" i="67"/>
  <c r="N6" i="67"/>
  <c r="N5" i="67"/>
  <c r="N63" i="67" l="1"/>
  <c r="G62" i="67"/>
  <c r="G61" i="67"/>
  <c r="G60" i="67"/>
  <c r="G59" i="67"/>
  <c r="G58" i="67"/>
  <c r="G57" i="67"/>
  <c r="G56" i="67"/>
  <c r="G55" i="67"/>
  <c r="G54" i="67"/>
  <c r="G53" i="67"/>
  <c r="G52" i="67"/>
  <c r="G51" i="67"/>
  <c r="G50" i="67"/>
  <c r="G49" i="67"/>
  <c r="G48" i="67"/>
  <c r="G47" i="67"/>
  <c r="G46" i="67"/>
  <c r="G45" i="67"/>
  <c r="G44" i="67"/>
  <c r="G43" i="67"/>
  <c r="G42" i="67"/>
  <c r="G41" i="67"/>
  <c r="G40" i="67"/>
  <c r="G39" i="67"/>
  <c r="G38" i="67"/>
  <c r="G37" i="67"/>
  <c r="G36" i="67"/>
  <c r="G35" i="67"/>
  <c r="G34" i="67"/>
  <c r="G33" i="67"/>
  <c r="G32" i="67"/>
  <c r="G31" i="67"/>
  <c r="G30" i="67"/>
  <c r="G29" i="67"/>
  <c r="G28" i="67"/>
  <c r="G27" i="67"/>
  <c r="G26" i="67"/>
  <c r="G25" i="67"/>
  <c r="G24" i="67"/>
  <c r="G23" i="67"/>
  <c r="G22" i="67"/>
  <c r="G21" i="67"/>
  <c r="G20" i="67"/>
  <c r="G19" i="67"/>
  <c r="G18" i="67"/>
  <c r="G17" i="67"/>
  <c r="G16" i="67"/>
  <c r="G15" i="67"/>
  <c r="G14" i="67"/>
  <c r="G13" i="67"/>
  <c r="G12" i="67"/>
  <c r="G11" i="67"/>
  <c r="G10" i="67"/>
  <c r="G9" i="67"/>
  <c r="G8" i="67"/>
  <c r="G7" i="67"/>
  <c r="G6" i="67"/>
  <c r="G5" i="67"/>
  <c r="D62" i="67"/>
  <c r="D61" i="67"/>
  <c r="D60" i="67"/>
  <c r="D59" i="67"/>
  <c r="D58" i="67"/>
  <c r="D57" i="67"/>
  <c r="D56" i="67"/>
  <c r="D55" i="67"/>
  <c r="D54" i="67"/>
  <c r="D53" i="67"/>
  <c r="D52" i="67"/>
  <c r="D51" i="67"/>
  <c r="D50" i="67"/>
  <c r="D49" i="67"/>
  <c r="D48" i="67"/>
  <c r="D47" i="67"/>
  <c r="D46" i="67"/>
  <c r="D45" i="67"/>
  <c r="D44" i="67"/>
  <c r="D43" i="67"/>
  <c r="D42" i="67"/>
  <c r="D41" i="67"/>
  <c r="D40" i="67"/>
  <c r="D39" i="67"/>
  <c r="D38" i="67"/>
  <c r="D37" i="67"/>
  <c r="D36" i="67"/>
  <c r="D35" i="67"/>
  <c r="D34" i="67"/>
  <c r="D33" i="67"/>
  <c r="D32" i="67"/>
  <c r="D31" i="67"/>
  <c r="D30" i="67"/>
  <c r="D29" i="67"/>
  <c r="D28" i="67"/>
  <c r="D27" i="67"/>
  <c r="D26" i="67"/>
  <c r="D25" i="67"/>
  <c r="D24" i="67"/>
  <c r="D23" i="67"/>
  <c r="D22" i="67"/>
  <c r="D21" i="67"/>
  <c r="D20" i="67"/>
  <c r="D19" i="67"/>
  <c r="D18" i="67"/>
  <c r="D17" i="67"/>
  <c r="D16" i="67"/>
  <c r="D15" i="67"/>
  <c r="D14" i="67"/>
  <c r="D13" i="67"/>
  <c r="D12" i="67"/>
  <c r="D11" i="67"/>
  <c r="D10" i="67"/>
  <c r="D9" i="67"/>
  <c r="D8" i="67"/>
  <c r="D7" i="67"/>
  <c r="D6" i="67"/>
  <c r="D5" i="67"/>
  <c r="L66" i="119"/>
  <c r="X65" i="119" l="1"/>
  <c r="W65" i="119"/>
  <c r="AN3" i="119"/>
  <c r="AM3" i="119"/>
  <c r="AK3" i="119"/>
  <c r="AJ3" i="119"/>
  <c r="AH3" i="119"/>
  <c r="AG3" i="119"/>
  <c r="AE3" i="119"/>
  <c r="P66" i="109" l="1"/>
  <c r="AF3" i="109" l="1"/>
  <c r="FN8" i="97" l="1"/>
  <c r="FN9" i="97"/>
  <c r="FN10" i="97"/>
  <c r="FN11" i="97"/>
  <c r="FN12" i="97"/>
  <c r="FN13" i="97"/>
  <c r="FN14" i="97"/>
  <c r="FN15" i="97"/>
  <c r="FN16" i="97"/>
  <c r="FN17" i="97"/>
  <c r="FN18" i="97"/>
  <c r="FN19" i="97"/>
  <c r="FN20" i="97"/>
  <c r="FN21" i="97"/>
  <c r="FN22" i="97"/>
  <c r="FN23" i="97"/>
  <c r="FN24" i="97"/>
  <c r="FN25" i="97"/>
  <c r="FN26" i="97"/>
  <c r="FN27" i="97"/>
  <c r="FN28" i="97"/>
  <c r="FN29" i="97"/>
  <c r="FN30" i="97"/>
  <c r="FN31" i="97"/>
  <c r="FN32" i="97"/>
  <c r="FN33" i="97"/>
  <c r="FN34" i="97"/>
  <c r="FN35" i="97"/>
  <c r="FN36" i="97"/>
  <c r="FN37" i="97"/>
  <c r="FN38" i="97"/>
  <c r="FN39" i="97"/>
  <c r="FN40" i="97"/>
  <c r="FN41" i="97"/>
  <c r="FN42" i="97"/>
  <c r="FN43" i="97"/>
  <c r="FN44" i="97"/>
  <c r="FN45" i="97"/>
  <c r="FN46" i="97"/>
  <c r="FN47" i="97"/>
  <c r="FN48" i="97"/>
  <c r="FN49" i="97"/>
  <c r="FN50" i="97"/>
  <c r="FN51" i="97"/>
  <c r="FN52" i="97"/>
  <c r="FN53" i="97"/>
  <c r="FN54" i="97"/>
  <c r="FN55" i="97"/>
  <c r="FN56" i="97"/>
  <c r="FN57" i="97"/>
  <c r="FN58" i="97"/>
  <c r="FN59" i="97"/>
  <c r="FN60" i="97"/>
  <c r="FN61" i="97"/>
  <c r="FN62" i="97"/>
  <c r="FN63" i="97"/>
  <c r="FN64" i="97"/>
  <c r="FN7" i="97"/>
  <c r="M64" i="91" l="1"/>
  <c r="L64" i="91"/>
  <c r="X65" i="109" l="1"/>
  <c r="W65" i="109"/>
  <c r="B63" i="80" l="1"/>
  <c r="C63" i="80"/>
  <c r="D65" i="80" l="1"/>
  <c r="EI8" i="97" l="1"/>
  <c r="EI9" i="97"/>
  <c r="EI10" i="97"/>
  <c r="EI11" i="97"/>
  <c r="EI12" i="97"/>
  <c r="EI13" i="97"/>
  <c r="EI14" i="97"/>
  <c r="EI15" i="97"/>
  <c r="EI16" i="97"/>
  <c r="EI17" i="97"/>
  <c r="EI18" i="97"/>
  <c r="EI19" i="97"/>
  <c r="EI20" i="97"/>
  <c r="EI21" i="97"/>
  <c r="EI22" i="97"/>
  <c r="EI23" i="97"/>
  <c r="EI24" i="97"/>
  <c r="EI25" i="97"/>
  <c r="EI26" i="97"/>
  <c r="EI27" i="97"/>
  <c r="EI28" i="97"/>
  <c r="EI29" i="97"/>
  <c r="EI30" i="97"/>
  <c r="EI31" i="97"/>
  <c r="EI32" i="97"/>
  <c r="EI33" i="97"/>
  <c r="EI34" i="97"/>
  <c r="EI35" i="97"/>
  <c r="EI36" i="97"/>
  <c r="EI37" i="97"/>
  <c r="EI38" i="97"/>
  <c r="EI39" i="97"/>
  <c r="EI40" i="97"/>
  <c r="EI41" i="97"/>
  <c r="EI42" i="97"/>
  <c r="EI43" i="97"/>
  <c r="EI44" i="97"/>
  <c r="EI45" i="97"/>
  <c r="EI46" i="97"/>
  <c r="EI47" i="97"/>
  <c r="EI48" i="97"/>
  <c r="EI49" i="97"/>
  <c r="EI50" i="97"/>
  <c r="EI51" i="97"/>
  <c r="EI52" i="97"/>
  <c r="EI53" i="97"/>
  <c r="EI54" i="97"/>
  <c r="EI55" i="97"/>
  <c r="EI56" i="97"/>
  <c r="EI57" i="97"/>
  <c r="EI58" i="97"/>
  <c r="EI59" i="97"/>
  <c r="EI60" i="97"/>
  <c r="EI61" i="97"/>
  <c r="EI62" i="97"/>
  <c r="EI63" i="97"/>
  <c r="EI64" i="97"/>
  <c r="EI7" i="97"/>
  <c r="EE4" i="97"/>
  <c r="EI4" i="97"/>
  <c r="EE8" i="97"/>
  <c r="EG8" i="97" s="1"/>
  <c r="EE9" i="97"/>
  <c r="EG9" i="97" s="1"/>
  <c r="EE10" i="97"/>
  <c r="EG10" i="97" s="1"/>
  <c r="EE11" i="97"/>
  <c r="EG11" i="97" s="1"/>
  <c r="EE12" i="97"/>
  <c r="EG12" i="97" s="1"/>
  <c r="EE13" i="97"/>
  <c r="EG13" i="97" s="1"/>
  <c r="EE14" i="97"/>
  <c r="EG14" i="97" s="1"/>
  <c r="EE15" i="97"/>
  <c r="EG15" i="97" s="1"/>
  <c r="EE16" i="97"/>
  <c r="EG16" i="97" s="1"/>
  <c r="EE17" i="97"/>
  <c r="EG17" i="97" s="1"/>
  <c r="EE18" i="97"/>
  <c r="EG18" i="97" s="1"/>
  <c r="EE19" i="97"/>
  <c r="EG19" i="97" s="1"/>
  <c r="EE20" i="97"/>
  <c r="EG20" i="97" s="1"/>
  <c r="EE21" i="97"/>
  <c r="EG21" i="97" s="1"/>
  <c r="EE22" i="97"/>
  <c r="EG22" i="97" s="1"/>
  <c r="EE23" i="97"/>
  <c r="EG23" i="97" s="1"/>
  <c r="EE24" i="97"/>
  <c r="EG24" i="97" s="1"/>
  <c r="EE25" i="97"/>
  <c r="EG25" i="97" s="1"/>
  <c r="EE26" i="97"/>
  <c r="EG26" i="97" s="1"/>
  <c r="EE27" i="97"/>
  <c r="EG27" i="97" s="1"/>
  <c r="EE28" i="97"/>
  <c r="EG28" i="97" s="1"/>
  <c r="EE29" i="97"/>
  <c r="EG29" i="97" s="1"/>
  <c r="EE30" i="97"/>
  <c r="EG30" i="97" s="1"/>
  <c r="EE31" i="97"/>
  <c r="EG31" i="97" s="1"/>
  <c r="EE32" i="97"/>
  <c r="EG32" i="97" s="1"/>
  <c r="EE33" i="97"/>
  <c r="EG33" i="97" s="1"/>
  <c r="EE34" i="97"/>
  <c r="EG34" i="97" s="1"/>
  <c r="EE35" i="97"/>
  <c r="EG35" i="97" s="1"/>
  <c r="EE36" i="97"/>
  <c r="EG36" i="97" s="1"/>
  <c r="EE37" i="97"/>
  <c r="EG37" i="97" s="1"/>
  <c r="EE38" i="97"/>
  <c r="EG38" i="97" s="1"/>
  <c r="EE39" i="97"/>
  <c r="EG39" i="97" s="1"/>
  <c r="EE40" i="97"/>
  <c r="EG40" i="97" s="1"/>
  <c r="EE41" i="97"/>
  <c r="EG41" i="97" s="1"/>
  <c r="EE42" i="97"/>
  <c r="EG42" i="97" s="1"/>
  <c r="EE43" i="97"/>
  <c r="EG43" i="97" s="1"/>
  <c r="EE44" i="97"/>
  <c r="EG44" i="97" s="1"/>
  <c r="EE45" i="97"/>
  <c r="EG45" i="97" s="1"/>
  <c r="EE46" i="97"/>
  <c r="EG46" i="97" s="1"/>
  <c r="EE47" i="97"/>
  <c r="EG47" i="97" s="1"/>
  <c r="EE48" i="97"/>
  <c r="EG48" i="97" s="1"/>
  <c r="EE49" i="97"/>
  <c r="EG49" i="97" s="1"/>
  <c r="EE50" i="97"/>
  <c r="EG50" i="97" s="1"/>
  <c r="EE51" i="97"/>
  <c r="EG51" i="97" s="1"/>
  <c r="EE52" i="97"/>
  <c r="EG52" i="97" s="1"/>
  <c r="EE53" i="97"/>
  <c r="EG53" i="97" s="1"/>
  <c r="EE54" i="97"/>
  <c r="EG54" i="97" s="1"/>
  <c r="EE55" i="97"/>
  <c r="EG55" i="97" s="1"/>
  <c r="EE56" i="97"/>
  <c r="EG56" i="97" s="1"/>
  <c r="EE57" i="97"/>
  <c r="EG57" i="97" s="1"/>
  <c r="EE58" i="97"/>
  <c r="EG58" i="97" s="1"/>
  <c r="EE59" i="97"/>
  <c r="EG59" i="97" s="1"/>
  <c r="EE60" i="97"/>
  <c r="EG60" i="97" s="1"/>
  <c r="EE61" i="97"/>
  <c r="EG61" i="97" s="1"/>
  <c r="EE62" i="97"/>
  <c r="EG62" i="97" s="1"/>
  <c r="EE63" i="97"/>
  <c r="EG63" i="97" s="1"/>
  <c r="EE64" i="97"/>
  <c r="EG64" i="97" s="1"/>
  <c r="EE7" i="97"/>
  <c r="EF65" i="97"/>
  <c r="X66" i="97"/>
  <c r="AK66" i="97"/>
  <c r="DO64" i="97"/>
  <c r="EM64" i="97" s="1"/>
  <c r="DO63" i="97"/>
  <c r="EM63" i="97" s="1"/>
  <c r="DO62" i="97"/>
  <c r="EM62" i="97" s="1"/>
  <c r="DO61" i="97"/>
  <c r="EM61" i="97" s="1"/>
  <c r="DO60" i="97"/>
  <c r="EM60" i="97" s="1"/>
  <c r="DO59" i="97"/>
  <c r="EM59" i="97" s="1"/>
  <c r="DO58" i="97"/>
  <c r="EM58" i="97" s="1"/>
  <c r="DO57" i="97"/>
  <c r="EM57" i="97" s="1"/>
  <c r="DO56" i="97"/>
  <c r="EM56" i="97" s="1"/>
  <c r="DO55" i="97"/>
  <c r="EM55" i="97" s="1"/>
  <c r="DO54" i="97"/>
  <c r="EM54" i="97" s="1"/>
  <c r="DO53" i="97"/>
  <c r="EM53" i="97" s="1"/>
  <c r="DO52" i="97"/>
  <c r="EM52" i="97" s="1"/>
  <c r="DO51" i="97"/>
  <c r="EM51" i="97" s="1"/>
  <c r="DO50" i="97"/>
  <c r="EM50" i="97" s="1"/>
  <c r="DO49" i="97"/>
  <c r="EM49" i="97" s="1"/>
  <c r="DO48" i="97"/>
  <c r="EM48" i="97" s="1"/>
  <c r="DO47" i="97"/>
  <c r="EM47" i="97" s="1"/>
  <c r="DO46" i="97"/>
  <c r="EM46" i="97" s="1"/>
  <c r="DO45" i="97"/>
  <c r="EM45" i="97" s="1"/>
  <c r="DO44" i="97"/>
  <c r="EM44" i="97" s="1"/>
  <c r="DO43" i="97"/>
  <c r="EM43" i="97" s="1"/>
  <c r="DO42" i="97"/>
  <c r="EM42" i="97" s="1"/>
  <c r="DO41" i="97"/>
  <c r="EM41" i="97" s="1"/>
  <c r="DO40" i="97"/>
  <c r="EM40" i="97" s="1"/>
  <c r="DO39" i="97"/>
  <c r="EM39" i="97" s="1"/>
  <c r="DO38" i="97"/>
  <c r="EM38" i="97" s="1"/>
  <c r="DO37" i="97"/>
  <c r="EM37" i="97" s="1"/>
  <c r="DO36" i="97"/>
  <c r="EM36" i="97" s="1"/>
  <c r="DO35" i="97"/>
  <c r="EM35" i="97" s="1"/>
  <c r="DO34" i="97"/>
  <c r="EM34" i="97" s="1"/>
  <c r="DO33" i="97"/>
  <c r="EM33" i="97" s="1"/>
  <c r="DO32" i="97"/>
  <c r="EM32" i="97" s="1"/>
  <c r="DO31" i="97"/>
  <c r="EM31" i="97" s="1"/>
  <c r="DO30" i="97"/>
  <c r="EM30" i="97" s="1"/>
  <c r="DO29" i="97"/>
  <c r="EM29" i="97" s="1"/>
  <c r="DO28" i="97"/>
  <c r="EM28" i="97" s="1"/>
  <c r="DO27" i="97"/>
  <c r="EM27" i="97" s="1"/>
  <c r="DO26" i="97"/>
  <c r="EM26" i="97" s="1"/>
  <c r="DO25" i="97"/>
  <c r="EM25" i="97" s="1"/>
  <c r="DO24" i="97"/>
  <c r="EM24" i="97" s="1"/>
  <c r="DO23" i="97"/>
  <c r="EM23" i="97" s="1"/>
  <c r="DO22" i="97"/>
  <c r="EM22" i="97" s="1"/>
  <c r="DO21" i="97"/>
  <c r="EM21" i="97" s="1"/>
  <c r="DO20" i="97"/>
  <c r="EM20" i="97" s="1"/>
  <c r="DO19" i="97"/>
  <c r="EM19" i="97" s="1"/>
  <c r="DO18" i="97"/>
  <c r="EM18" i="97" s="1"/>
  <c r="DO17" i="97"/>
  <c r="EM17" i="97" s="1"/>
  <c r="DO16" i="97"/>
  <c r="EM16" i="97" s="1"/>
  <c r="DO15" i="97"/>
  <c r="EM15" i="97" s="1"/>
  <c r="DO14" i="97"/>
  <c r="EM14" i="97" s="1"/>
  <c r="DO13" i="97"/>
  <c r="EM13" i="97" s="1"/>
  <c r="DO12" i="97"/>
  <c r="EM12" i="97" s="1"/>
  <c r="DO11" i="97"/>
  <c r="EM11" i="97" s="1"/>
  <c r="DO10" i="97"/>
  <c r="EM10" i="97" s="1"/>
  <c r="DO9" i="97"/>
  <c r="EM9" i="97" s="1"/>
  <c r="DO8" i="97"/>
  <c r="EM8" i="97" s="1"/>
  <c r="DO4" i="97"/>
  <c r="DO7" i="97"/>
  <c r="EM7" i="97" s="1"/>
  <c r="EH63" i="97" l="1"/>
  <c r="EH59" i="97"/>
  <c r="EH55" i="97"/>
  <c r="EH51" i="97"/>
  <c r="EH47" i="97"/>
  <c r="EH43" i="97"/>
  <c r="EH39" i="97"/>
  <c r="EH35" i="97"/>
  <c r="EH31" i="97"/>
  <c r="EH27" i="97"/>
  <c r="EH23" i="97"/>
  <c r="EH19" i="97"/>
  <c r="EH15" i="97"/>
  <c r="EH11" i="97"/>
  <c r="EH25" i="97"/>
  <c r="EH61" i="97"/>
  <c r="EH57" i="97"/>
  <c r="EH53" i="97"/>
  <c r="EH49" i="97"/>
  <c r="EH45" i="97"/>
  <c r="EH41" i="97"/>
  <c r="EH37" i="97"/>
  <c r="EH33" i="97"/>
  <c r="EH29" i="97"/>
  <c r="EH21" i="97"/>
  <c r="EH17" i="97"/>
  <c r="EH13" i="97"/>
  <c r="EH9" i="97"/>
  <c r="EH60" i="97"/>
  <c r="EH40" i="97"/>
  <c r="EH36" i="97"/>
  <c r="EH16" i="97"/>
  <c r="EH8" i="97"/>
  <c r="EH48" i="97"/>
  <c r="EH28" i="97"/>
  <c r="EH64" i="97"/>
  <c r="EH56" i="97"/>
  <c r="EH52" i="97"/>
  <c r="EH44" i="97"/>
  <c r="EH32" i="97"/>
  <c r="EH24" i="97"/>
  <c r="EH20" i="97"/>
  <c r="EH12" i="97"/>
  <c r="EH62" i="97"/>
  <c r="EH58" i="97"/>
  <c r="EH54" i="97"/>
  <c r="EH50" i="97"/>
  <c r="EH46" i="97"/>
  <c r="EH42" i="97"/>
  <c r="EH38" i="97"/>
  <c r="EH34" i="97"/>
  <c r="EH30" i="97"/>
  <c r="EH26" i="97"/>
  <c r="EH22" i="97"/>
  <c r="EH18" i="97"/>
  <c r="EH14" i="97"/>
  <c r="EH10" i="97"/>
  <c r="EE65" i="97"/>
  <c r="EG7" i="97"/>
  <c r="EH7" i="97" s="1"/>
  <c r="FV64" i="97"/>
  <c r="FV63" i="97"/>
  <c r="FV62" i="97"/>
  <c r="FV61" i="97"/>
  <c r="FV60" i="97"/>
  <c r="FV59" i="97"/>
  <c r="FV58" i="97"/>
  <c r="FV57" i="97"/>
  <c r="FV56" i="97"/>
  <c r="FV55" i="97"/>
  <c r="FV54" i="97"/>
  <c r="FV53" i="97"/>
  <c r="FV52" i="97"/>
  <c r="FV51" i="97"/>
  <c r="FV50" i="97"/>
  <c r="FV49" i="97"/>
  <c r="FV48" i="97"/>
  <c r="FV47" i="97"/>
  <c r="FV46" i="97"/>
  <c r="FV45" i="97"/>
  <c r="FV44" i="97"/>
  <c r="FV43" i="97"/>
  <c r="FV42" i="97"/>
  <c r="FV41" i="97"/>
  <c r="FV40" i="97"/>
  <c r="FV39" i="97"/>
  <c r="FV38" i="97"/>
  <c r="FV37" i="97"/>
  <c r="FV36" i="97"/>
  <c r="FV35" i="97"/>
  <c r="FV34" i="97"/>
  <c r="FV33" i="97"/>
  <c r="FV32" i="97"/>
  <c r="FV31" i="97"/>
  <c r="FV30" i="97"/>
  <c r="FV29" i="97"/>
  <c r="FV28" i="97"/>
  <c r="FV27" i="97"/>
  <c r="FV26" i="97"/>
  <c r="FV25" i="97"/>
  <c r="FV24" i="97"/>
  <c r="FV23" i="97"/>
  <c r="FV22" i="97"/>
  <c r="FV21" i="97"/>
  <c r="FV20" i="97"/>
  <c r="FV19" i="97"/>
  <c r="FV18" i="97"/>
  <c r="FV17" i="97"/>
  <c r="FV16" i="97"/>
  <c r="FV15" i="97"/>
  <c r="FV14" i="97"/>
  <c r="FV13" i="97"/>
  <c r="FV12" i="97"/>
  <c r="FV11" i="97"/>
  <c r="FV10" i="97"/>
  <c r="FV9" i="97"/>
  <c r="FV8" i="97"/>
  <c r="FV7" i="97"/>
  <c r="FV4" i="97"/>
  <c r="FW65" i="97"/>
  <c r="FX64" i="97"/>
  <c r="FY64" i="97" s="1"/>
  <c r="FX63" i="97"/>
  <c r="FY63" i="97" s="1"/>
  <c r="FX62" i="97"/>
  <c r="FY62" i="97" s="1"/>
  <c r="FX61" i="97"/>
  <c r="FY61" i="97" s="1"/>
  <c r="FX60" i="97"/>
  <c r="FY60" i="97" s="1"/>
  <c r="FX59" i="97"/>
  <c r="FY59" i="97" s="1"/>
  <c r="FX58" i="97"/>
  <c r="FY58" i="97" s="1"/>
  <c r="FX57" i="97"/>
  <c r="FY57" i="97" s="1"/>
  <c r="FX56" i="97"/>
  <c r="FY56" i="97" s="1"/>
  <c r="FX55" i="97"/>
  <c r="FY55" i="97" s="1"/>
  <c r="FX54" i="97"/>
  <c r="FY54" i="97" s="1"/>
  <c r="FX53" i="97"/>
  <c r="FY53" i="97" s="1"/>
  <c r="FX52" i="97"/>
  <c r="FY52" i="97" s="1"/>
  <c r="FX51" i="97"/>
  <c r="FY51" i="97" s="1"/>
  <c r="FX50" i="97"/>
  <c r="FY50" i="97" s="1"/>
  <c r="FX49" i="97"/>
  <c r="FY49" i="97" s="1"/>
  <c r="FX48" i="97"/>
  <c r="FY48" i="97" s="1"/>
  <c r="FX47" i="97"/>
  <c r="FY47" i="97" s="1"/>
  <c r="FX46" i="97"/>
  <c r="FY46" i="97" s="1"/>
  <c r="FX45" i="97"/>
  <c r="FY45" i="97" s="1"/>
  <c r="FX44" i="97"/>
  <c r="FY44" i="97" s="1"/>
  <c r="FX43" i="97"/>
  <c r="FY43" i="97" s="1"/>
  <c r="FX42" i="97"/>
  <c r="FY42" i="97" s="1"/>
  <c r="FX41" i="97"/>
  <c r="FY41" i="97" s="1"/>
  <c r="FX40" i="97"/>
  <c r="FY40" i="97" s="1"/>
  <c r="FX39" i="97"/>
  <c r="FY39" i="97" s="1"/>
  <c r="FX38" i="97"/>
  <c r="FY38" i="97" s="1"/>
  <c r="FX37" i="97"/>
  <c r="FY37" i="97" s="1"/>
  <c r="FX36" i="97"/>
  <c r="FY36" i="97" s="1"/>
  <c r="FX35" i="97"/>
  <c r="FY35" i="97" s="1"/>
  <c r="FX34" i="97"/>
  <c r="FY34" i="97" s="1"/>
  <c r="FX33" i="97"/>
  <c r="FY33" i="97" s="1"/>
  <c r="FX32" i="97"/>
  <c r="FY32" i="97" s="1"/>
  <c r="FX31" i="97"/>
  <c r="FY31" i="97" s="1"/>
  <c r="FX30" i="97"/>
  <c r="FY30" i="97" s="1"/>
  <c r="FX29" i="97"/>
  <c r="FY29" i="97" s="1"/>
  <c r="FX28" i="97"/>
  <c r="FY28" i="97" s="1"/>
  <c r="FX27" i="97"/>
  <c r="FY27" i="97" s="1"/>
  <c r="FX26" i="97"/>
  <c r="FY26" i="97" s="1"/>
  <c r="FX25" i="97"/>
  <c r="FY25" i="97" s="1"/>
  <c r="FX24" i="97"/>
  <c r="FY24" i="97" s="1"/>
  <c r="FX23" i="97"/>
  <c r="FY23" i="97" s="1"/>
  <c r="FX22" i="97"/>
  <c r="FY22" i="97" s="1"/>
  <c r="FX21" i="97"/>
  <c r="FY21" i="97" s="1"/>
  <c r="FX20" i="97"/>
  <c r="FY20" i="97" s="1"/>
  <c r="FX19" i="97"/>
  <c r="FY19" i="97" s="1"/>
  <c r="FX18" i="97"/>
  <c r="FY18" i="97" s="1"/>
  <c r="FX17" i="97"/>
  <c r="FY17" i="97" s="1"/>
  <c r="FX16" i="97"/>
  <c r="FY16" i="97" s="1"/>
  <c r="FX15" i="97"/>
  <c r="FY15" i="97" s="1"/>
  <c r="FX14" i="97"/>
  <c r="FY14" i="97" s="1"/>
  <c r="FX13" i="97"/>
  <c r="FY13" i="97" s="1"/>
  <c r="FX12" i="97"/>
  <c r="FY12" i="97" s="1"/>
  <c r="FX11" i="97"/>
  <c r="FY11" i="97" s="1"/>
  <c r="FX10" i="97"/>
  <c r="FY10" i="97" s="1"/>
  <c r="FX9" i="97"/>
  <c r="FY9" i="97" s="1"/>
  <c r="FX8" i="97"/>
  <c r="FY8" i="97" s="1"/>
  <c r="FX7" i="97"/>
  <c r="FY7" i="97" s="1"/>
  <c r="GA7" i="97"/>
  <c r="GA8" i="97"/>
  <c r="GA9" i="97"/>
  <c r="GA10" i="97"/>
  <c r="GA11" i="97"/>
  <c r="GA12" i="97"/>
  <c r="GA13" i="97"/>
  <c r="GA14" i="97"/>
  <c r="GA15" i="97"/>
  <c r="GA16" i="97"/>
  <c r="GA17" i="97"/>
  <c r="GA18" i="97"/>
  <c r="GA19" i="97"/>
  <c r="GA20" i="97"/>
  <c r="GA21" i="97"/>
  <c r="GA22" i="97"/>
  <c r="GA23" i="97"/>
  <c r="GA24" i="97"/>
  <c r="GA25" i="97"/>
  <c r="GA26" i="97"/>
  <c r="GA27" i="97"/>
  <c r="GA28" i="97"/>
  <c r="GA29" i="97"/>
  <c r="GA30" i="97"/>
  <c r="GA31" i="97"/>
  <c r="GA32" i="97"/>
  <c r="GA33" i="97"/>
  <c r="GA34" i="97"/>
  <c r="GA35" i="97"/>
  <c r="GA36" i="97"/>
  <c r="GA37" i="97"/>
  <c r="GA38" i="97"/>
  <c r="GA39" i="97"/>
  <c r="GA40" i="97"/>
  <c r="GA41" i="97"/>
  <c r="GA42" i="97"/>
  <c r="GA43" i="97"/>
  <c r="GA44" i="97"/>
  <c r="GA45" i="97"/>
  <c r="GA46" i="97"/>
  <c r="GA47" i="97"/>
  <c r="GA48" i="97"/>
  <c r="GA49" i="97"/>
  <c r="GA50" i="97"/>
  <c r="GA51" i="97"/>
  <c r="GA52" i="97"/>
  <c r="GA53" i="97"/>
  <c r="GA54" i="97"/>
  <c r="GA55" i="97"/>
  <c r="GA56" i="97"/>
  <c r="GA57" i="97"/>
  <c r="GA58" i="97"/>
  <c r="GA59" i="97"/>
  <c r="GA60" i="97"/>
  <c r="GA61" i="97"/>
  <c r="GA62" i="97"/>
  <c r="GA63" i="97"/>
  <c r="GA64" i="97"/>
  <c r="GR7" i="97"/>
  <c r="GR8" i="97"/>
  <c r="GR9" i="97"/>
  <c r="GR10" i="97"/>
  <c r="GR11" i="97"/>
  <c r="GR12" i="97"/>
  <c r="GR13" i="97"/>
  <c r="GR14" i="97"/>
  <c r="GR15" i="97"/>
  <c r="GR16" i="97"/>
  <c r="GR17" i="97"/>
  <c r="GR18" i="97"/>
  <c r="GR19" i="97"/>
  <c r="GR20" i="97"/>
  <c r="GR21" i="97"/>
  <c r="GR22" i="97"/>
  <c r="GR23" i="97"/>
  <c r="GR24" i="97"/>
  <c r="GR25" i="97"/>
  <c r="GR26" i="97"/>
  <c r="GR27" i="97"/>
  <c r="GR28" i="97"/>
  <c r="GR29" i="97"/>
  <c r="GR30" i="97"/>
  <c r="GR31" i="97"/>
  <c r="GR32" i="97"/>
  <c r="GR33" i="97"/>
  <c r="GR34" i="97"/>
  <c r="GR35" i="97"/>
  <c r="GR36" i="97"/>
  <c r="GR37" i="97"/>
  <c r="GR38" i="97"/>
  <c r="GR39" i="97"/>
  <c r="GR40" i="97"/>
  <c r="GR41" i="97"/>
  <c r="GR42" i="97"/>
  <c r="GR43" i="97"/>
  <c r="GR44" i="97"/>
  <c r="GR45" i="97"/>
  <c r="GR46" i="97"/>
  <c r="GR47" i="97"/>
  <c r="GR48" i="97"/>
  <c r="GR49" i="97"/>
  <c r="GR50" i="97"/>
  <c r="GR51" i="97"/>
  <c r="GR52" i="97"/>
  <c r="GR53" i="97"/>
  <c r="GR54" i="97"/>
  <c r="GR55" i="97"/>
  <c r="GR56" i="97"/>
  <c r="GR57" i="97"/>
  <c r="GR58" i="97"/>
  <c r="GR59" i="97"/>
  <c r="GR60" i="97"/>
  <c r="GR61" i="97"/>
  <c r="GR62" i="97"/>
  <c r="GR63" i="97"/>
  <c r="GR64" i="97"/>
  <c r="EG65" i="97" l="1"/>
  <c r="GT7" i="97"/>
  <c r="GT11" i="97"/>
  <c r="GT15" i="97"/>
  <c r="GT19" i="97"/>
  <c r="GT23" i="97"/>
  <c r="GT27" i="97"/>
  <c r="GT31" i="97"/>
  <c r="GT35" i="97"/>
  <c r="GT39" i="97"/>
  <c r="GT43" i="97"/>
  <c r="GT47" i="97"/>
  <c r="GT51" i="97"/>
  <c r="GT55" i="97"/>
  <c r="GT59" i="97"/>
  <c r="GT63" i="97"/>
  <c r="GT8" i="97"/>
  <c r="GT12" i="97"/>
  <c r="GT16" i="97"/>
  <c r="GT20" i="97"/>
  <c r="GT24" i="97"/>
  <c r="GT28" i="97"/>
  <c r="GT32" i="97"/>
  <c r="GT36" i="97"/>
  <c r="GT40" i="97"/>
  <c r="GT44" i="97"/>
  <c r="GT48" i="97"/>
  <c r="GT52" i="97"/>
  <c r="GT56" i="97"/>
  <c r="GT60" i="97"/>
  <c r="GT64" i="97"/>
  <c r="GT9" i="97"/>
  <c r="GT13" i="97"/>
  <c r="GT17" i="97"/>
  <c r="GT21" i="97"/>
  <c r="GT25" i="97"/>
  <c r="GT29" i="97"/>
  <c r="GT33" i="97"/>
  <c r="GT37" i="97"/>
  <c r="GT41" i="97"/>
  <c r="GT45" i="97"/>
  <c r="GT49" i="97"/>
  <c r="GT53" i="97"/>
  <c r="GT57" i="97"/>
  <c r="GT61" i="97"/>
  <c r="GT10" i="97"/>
  <c r="GT14" i="97"/>
  <c r="GT18" i="97"/>
  <c r="GT22" i="97"/>
  <c r="GT26" i="97"/>
  <c r="GT30" i="97"/>
  <c r="GT34" i="97"/>
  <c r="GT38" i="97"/>
  <c r="GT42" i="97"/>
  <c r="GT46" i="97"/>
  <c r="GT50" i="97"/>
  <c r="GT54" i="97"/>
  <c r="GT58" i="97"/>
  <c r="GT62" i="97"/>
  <c r="FX65" i="97"/>
  <c r="FV65" i="97"/>
  <c r="FY65" i="97" l="1"/>
  <c r="GT65" i="97"/>
  <c r="EI65" i="97" l="1"/>
  <c r="GY65" i="97"/>
  <c r="AW66" i="97" l="1"/>
  <c r="HA8" i="97"/>
  <c r="GZ8" i="97" s="1"/>
  <c r="HA9" i="97"/>
  <c r="GZ9" i="97" s="1"/>
  <c r="HA10" i="97"/>
  <c r="GZ10" i="97" s="1"/>
  <c r="HA11" i="97"/>
  <c r="GZ11" i="97" s="1"/>
  <c r="HA12" i="97"/>
  <c r="GZ12" i="97" s="1"/>
  <c r="HA13" i="97"/>
  <c r="GZ13" i="97" s="1"/>
  <c r="HA14" i="97"/>
  <c r="GZ14" i="97" s="1"/>
  <c r="HA15" i="97"/>
  <c r="GZ15" i="97" s="1"/>
  <c r="HA16" i="97"/>
  <c r="GZ16" i="97" s="1"/>
  <c r="HA17" i="97"/>
  <c r="GZ17" i="97" s="1"/>
  <c r="HA18" i="97"/>
  <c r="GZ18" i="97" s="1"/>
  <c r="HA19" i="97"/>
  <c r="GZ19" i="97" s="1"/>
  <c r="HA20" i="97"/>
  <c r="GZ20" i="97" s="1"/>
  <c r="HA21" i="97"/>
  <c r="GZ21" i="97" s="1"/>
  <c r="HA22" i="97"/>
  <c r="GZ22" i="97" s="1"/>
  <c r="HA23" i="97"/>
  <c r="GZ23" i="97" s="1"/>
  <c r="HA24" i="97"/>
  <c r="GZ24" i="97" s="1"/>
  <c r="HA25" i="97"/>
  <c r="GZ25" i="97" s="1"/>
  <c r="HA26" i="97"/>
  <c r="GZ26" i="97" s="1"/>
  <c r="HA27" i="97"/>
  <c r="GZ27" i="97" s="1"/>
  <c r="HA28" i="97"/>
  <c r="GZ28" i="97" s="1"/>
  <c r="HA29" i="97"/>
  <c r="GZ29" i="97" s="1"/>
  <c r="HA30" i="97"/>
  <c r="GZ30" i="97" s="1"/>
  <c r="HA31" i="97"/>
  <c r="GZ31" i="97" s="1"/>
  <c r="HA32" i="97"/>
  <c r="GZ32" i="97" s="1"/>
  <c r="HA33" i="97"/>
  <c r="GZ33" i="97" s="1"/>
  <c r="HA34" i="97"/>
  <c r="GZ34" i="97" s="1"/>
  <c r="HA35" i="97"/>
  <c r="GZ35" i="97" s="1"/>
  <c r="HA36" i="97"/>
  <c r="GZ36" i="97" s="1"/>
  <c r="HA37" i="97"/>
  <c r="GZ37" i="97" s="1"/>
  <c r="HA38" i="97"/>
  <c r="GZ38" i="97" s="1"/>
  <c r="HA39" i="97"/>
  <c r="GZ39" i="97" s="1"/>
  <c r="HA40" i="97"/>
  <c r="GZ40" i="97" s="1"/>
  <c r="HA41" i="97"/>
  <c r="GZ41" i="97" s="1"/>
  <c r="HA42" i="97"/>
  <c r="GZ42" i="97" s="1"/>
  <c r="HA43" i="97"/>
  <c r="GZ43" i="97" s="1"/>
  <c r="HA44" i="97"/>
  <c r="GZ44" i="97" s="1"/>
  <c r="HA45" i="97"/>
  <c r="GZ45" i="97" s="1"/>
  <c r="HA46" i="97"/>
  <c r="GZ46" i="97" s="1"/>
  <c r="HA47" i="97"/>
  <c r="GZ47" i="97" s="1"/>
  <c r="HA48" i="97"/>
  <c r="GZ48" i="97" s="1"/>
  <c r="HA49" i="97"/>
  <c r="GZ49" i="97" s="1"/>
  <c r="HA50" i="97"/>
  <c r="GZ50" i="97" s="1"/>
  <c r="HA51" i="97"/>
  <c r="GZ51" i="97" s="1"/>
  <c r="HA52" i="97"/>
  <c r="GZ52" i="97" s="1"/>
  <c r="HA53" i="97"/>
  <c r="GZ53" i="97" s="1"/>
  <c r="HA54" i="97"/>
  <c r="GZ54" i="97" s="1"/>
  <c r="HA55" i="97"/>
  <c r="GZ55" i="97" s="1"/>
  <c r="HA56" i="97"/>
  <c r="GZ56" i="97" s="1"/>
  <c r="HA57" i="97"/>
  <c r="GZ57" i="97" s="1"/>
  <c r="HA58" i="97"/>
  <c r="GZ58" i="97" s="1"/>
  <c r="HA59" i="97"/>
  <c r="GZ59" i="97" s="1"/>
  <c r="HA60" i="97"/>
  <c r="GZ60" i="97" s="1"/>
  <c r="HA61" i="97"/>
  <c r="GZ61" i="97" s="1"/>
  <c r="HA62" i="97"/>
  <c r="GZ62" i="97" s="1"/>
  <c r="HA63" i="97"/>
  <c r="GZ63" i="97" s="1"/>
  <c r="HA64" i="97"/>
  <c r="GZ64" i="97" s="1"/>
  <c r="HA7" i="97"/>
  <c r="GZ7" i="97" s="1"/>
  <c r="CY8" i="97"/>
  <c r="CZ8" i="97"/>
  <c r="DA8" i="97"/>
  <c r="DB8" i="97"/>
  <c r="CY9" i="97"/>
  <c r="CZ9" i="97"/>
  <c r="DA9" i="97"/>
  <c r="DB9" i="97"/>
  <c r="CY10" i="97"/>
  <c r="CZ10" i="97"/>
  <c r="DA10" i="97"/>
  <c r="DB10" i="97"/>
  <c r="CY11" i="97"/>
  <c r="CZ11" i="97"/>
  <c r="DA11" i="97"/>
  <c r="DB11" i="97"/>
  <c r="CY12" i="97"/>
  <c r="CZ12" i="97"/>
  <c r="DA12" i="97"/>
  <c r="DB12" i="97"/>
  <c r="CY13" i="97"/>
  <c r="CZ13" i="97"/>
  <c r="DA13" i="97"/>
  <c r="DB13" i="97"/>
  <c r="CY14" i="97"/>
  <c r="CZ14" i="97"/>
  <c r="DA14" i="97"/>
  <c r="DB14" i="97"/>
  <c r="CY15" i="97"/>
  <c r="CZ15" i="97"/>
  <c r="DA15" i="97"/>
  <c r="DB15" i="97"/>
  <c r="CY16" i="97"/>
  <c r="CZ16" i="97"/>
  <c r="DA16" i="97"/>
  <c r="DB16" i="97"/>
  <c r="CY17" i="97"/>
  <c r="CZ17" i="97"/>
  <c r="DA17" i="97"/>
  <c r="DB17" i="97"/>
  <c r="CY18" i="97"/>
  <c r="CZ18" i="97"/>
  <c r="DA18" i="97"/>
  <c r="DB18" i="97"/>
  <c r="CY19" i="97"/>
  <c r="CZ19" i="97"/>
  <c r="DA19" i="97"/>
  <c r="DB19" i="97"/>
  <c r="CY20" i="97"/>
  <c r="CZ20" i="97"/>
  <c r="DA20" i="97"/>
  <c r="DB20" i="97"/>
  <c r="CY21" i="97"/>
  <c r="CZ21" i="97"/>
  <c r="DA21" i="97"/>
  <c r="DB21" i="97"/>
  <c r="CY22" i="97"/>
  <c r="CZ22" i="97"/>
  <c r="DA22" i="97"/>
  <c r="DB22" i="97"/>
  <c r="CY23" i="97"/>
  <c r="CZ23" i="97"/>
  <c r="DA23" i="97"/>
  <c r="DB23" i="97"/>
  <c r="CY24" i="97"/>
  <c r="CZ24" i="97"/>
  <c r="DA24" i="97"/>
  <c r="DB24" i="97"/>
  <c r="CY25" i="97"/>
  <c r="CZ25" i="97"/>
  <c r="DA25" i="97"/>
  <c r="DB25" i="97"/>
  <c r="CY26" i="97"/>
  <c r="CZ26" i="97"/>
  <c r="DA26" i="97"/>
  <c r="DB26" i="97"/>
  <c r="CY27" i="97"/>
  <c r="CZ27" i="97"/>
  <c r="DA27" i="97"/>
  <c r="DB27" i="97"/>
  <c r="CY28" i="97"/>
  <c r="CZ28" i="97"/>
  <c r="DA28" i="97"/>
  <c r="DB28" i="97"/>
  <c r="CY29" i="97"/>
  <c r="CZ29" i="97"/>
  <c r="DA29" i="97"/>
  <c r="DB29" i="97"/>
  <c r="CY30" i="97"/>
  <c r="CZ30" i="97"/>
  <c r="DA30" i="97"/>
  <c r="DB30" i="97"/>
  <c r="CY31" i="97"/>
  <c r="CZ31" i="97"/>
  <c r="DA31" i="97"/>
  <c r="DB31" i="97"/>
  <c r="CY32" i="97"/>
  <c r="CZ32" i="97"/>
  <c r="DA32" i="97"/>
  <c r="DB32" i="97"/>
  <c r="CY33" i="97"/>
  <c r="CZ33" i="97"/>
  <c r="DA33" i="97"/>
  <c r="DB33" i="97"/>
  <c r="CY34" i="97"/>
  <c r="CZ34" i="97"/>
  <c r="DA34" i="97"/>
  <c r="DB34" i="97"/>
  <c r="CY35" i="97"/>
  <c r="CZ35" i="97"/>
  <c r="DA35" i="97"/>
  <c r="DB35" i="97"/>
  <c r="CY36" i="97"/>
  <c r="CZ36" i="97"/>
  <c r="DA36" i="97"/>
  <c r="DB36" i="97"/>
  <c r="CY37" i="97"/>
  <c r="CZ37" i="97"/>
  <c r="DA37" i="97"/>
  <c r="DB37" i="97"/>
  <c r="CY38" i="97"/>
  <c r="CZ38" i="97"/>
  <c r="DA38" i="97"/>
  <c r="DB38" i="97"/>
  <c r="CY39" i="97"/>
  <c r="CZ39" i="97"/>
  <c r="DA39" i="97"/>
  <c r="DB39" i="97"/>
  <c r="CY40" i="97"/>
  <c r="CZ40" i="97"/>
  <c r="DA40" i="97"/>
  <c r="DB40" i="97"/>
  <c r="CY41" i="97"/>
  <c r="CZ41" i="97"/>
  <c r="DA41" i="97"/>
  <c r="DB41" i="97"/>
  <c r="CY42" i="97"/>
  <c r="CZ42" i="97"/>
  <c r="DA42" i="97"/>
  <c r="DB42" i="97"/>
  <c r="CY43" i="97"/>
  <c r="CZ43" i="97"/>
  <c r="DA43" i="97"/>
  <c r="DB43" i="97"/>
  <c r="CY44" i="97"/>
  <c r="CZ44" i="97"/>
  <c r="DA44" i="97"/>
  <c r="DB44" i="97"/>
  <c r="CY45" i="97"/>
  <c r="CZ45" i="97"/>
  <c r="DA45" i="97"/>
  <c r="DB45" i="97"/>
  <c r="CY46" i="97"/>
  <c r="CZ46" i="97"/>
  <c r="DA46" i="97"/>
  <c r="DB46" i="97"/>
  <c r="CY47" i="97"/>
  <c r="CZ47" i="97"/>
  <c r="DA47" i="97"/>
  <c r="DB47" i="97"/>
  <c r="CY48" i="97"/>
  <c r="CZ48" i="97"/>
  <c r="DA48" i="97"/>
  <c r="DB48" i="97"/>
  <c r="CY49" i="97"/>
  <c r="CZ49" i="97"/>
  <c r="DA49" i="97"/>
  <c r="DB49" i="97"/>
  <c r="CY50" i="97"/>
  <c r="CZ50" i="97"/>
  <c r="DA50" i="97"/>
  <c r="DB50" i="97"/>
  <c r="CY51" i="97"/>
  <c r="CZ51" i="97"/>
  <c r="DA51" i="97"/>
  <c r="DB51" i="97"/>
  <c r="CY52" i="97"/>
  <c r="CZ52" i="97"/>
  <c r="DA52" i="97"/>
  <c r="DB52" i="97"/>
  <c r="CY53" i="97"/>
  <c r="CZ53" i="97"/>
  <c r="DA53" i="97"/>
  <c r="DB53" i="97"/>
  <c r="CY54" i="97"/>
  <c r="CZ54" i="97"/>
  <c r="DA54" i="97"/>
  <c r="DB54" i="97"/>
  <c r="CY55" i="97"/>
  <c r="CZ55" i="97"/>
  <c r="DA55" i="97"/>
  <c r="DB55" i="97"/>
  <c r="CY56" i="97"/>
  <c r="CZ56" i="97"/>
  <c r="DA56" i="97"/>
  <c r="DB56" i="97"/>
  <c r="CY57" i="97"/>
  <c r="CZ57" i="97"/>
  <c r="DA57" i="97"/>
  <c r="DB57" i="97"/>
  <c r="CY58" i="97"/>
  <c r="CZ58" i="97"/>
  <c r="DA58" i="97"/>
  <c r="DB58" i="97"/>
  <c r="CY59" i="97"/>
  <c r="CZ59" i="97"/>
  <c r="DA59" i="97"/>
  <c r="DB59" i="97"/>
  <c r="CY60" i="97"/>
  <c r="CZ60" i="97"/>
  <c r="DA60" i="97"/>
  <c r="DB60" i="97"/>
  <c r="CY61" i="97"/>
  <c r="CZ61" i="97"/>
  <c r="DA61" i="97"/>
  <c r="DB61" i="97"/>
  <c r="CY62" i="97"/>
  <c r="CZ62" i="97"/>
  <c r="DA62" i="97"/>
  <c r="DB62" i="97"/>
  <c r="CY63" i="97"/>
  <c r="CZ63" i="97"/>
  <c r="DA63" i="97"/>
  <c r="DB63" i="97"/>
  <c r="CY64" i="97"/>
  <c r="CZ64" i="97"/>
  <c r="DA64" i="97"/>
  <c r="DB64" i="97"/>
  <c r="DB7" i="97"/>
  <c r="DA7" i="97"/>
  <c r="CZ7" i="97"/>
  <c r="CY7" i="97"/>
  <c r="GZ65" i="97" l="1"/>
  <c r="C65" i="97" l="1"/>
  <c r="D63" i="97" s="1"/>
  <c r="D33" i="97" l="1"/>
  <c r="D65" i="97"/>
  <c r="D14" i="97"/>
  <c r="D34" i="97"/>
  <c r="D49" i="97"/>
  <c r="D13" i="97"/>
  <c r="D46" i="97"/>
  <c r="D12" i="97"/>
  <c r="D27" i="97"/>
  <c r="D45" i="97"/>
  <c r="D11" i="97"/>
  <c r="D44" i="97"/>
  <c r="D25" i="97"/>
  <c r="D43" i="97"/>
  <c r="D57" i="97"/>
  <c r="D21" i="97"/>
  <c r="D36" i="97"/>
  <c r="D54" i="97"/>
  <c r="D26" i="97"/>
  <c r="D59" i="97"/>
  <c r="D58" i="97"/>
  <c r="D22" i="97"/>
  <c r="D37" i="97"/>
  <c r="D17" i="97"/>
  <c r="D35" i="97"/>
  <c r="D53" i="97"/>
  <c r="D10" i="97"/>
  <c r="D20" i="97"/>
  <c r="D30" i="97"/>
  <c r="D42" i="97"/>
  <c r="D52" i="97"/>
  <c r="D62" i="97"/>
  <c r="D9" i="97"/>
  <c r="D19" i="97"/>
  <c r="D29" i="97"/>
  <c r="D41" i="97"/>
  <c r="D51" i="97"/>
  <c r="D61" i="97"/>
  <c r="D18" i="97"/>
  <c r="D28" i="97"/>
  <c r="D38" i="97"/>
  <c r="D50" i="97"/>
  <c r="D60" i="97"/>
  <c r="D8" i="97"/>
  <c r="D16" i="97"/>
  <c r="D24" i="97"/>
  <c r="D32" i="97"/>
  <c r="D40" i="97"/>
  <c r="D48" i="97"/>
  <c r="D56" i="97"/>
  <c r="D64" i="97"/>
  <c r="D7" i="97"/>
  <c r="D15" i="97"/>
  <c r="D23" i="97"/>
  <c r="D31" i="97"/>
  <c r="D39" i="97"/>
  <c r="D47" i="97"/>
  <c r="D55" i="97"/>
  <c r="AL66" i="97" l="1"/>
  <c r="AM66" i="97" s="1"/>
  <c r="BG65" i="97" l="1"/>
  <c r="CA65" i="97" l="1"/>
  <c r="BQ65" i="97"/>
  <c r="CK65" i="97"/>
  <c r="BI58" i="97"/>
  <c r="BI21" i="97" l="1"/>
  <c r="BI12" i="97"/>
  <c r="BI19" i="97"/>
  <c r="BI33" i="97"/>
  <c r="BI54" i="97"/>
  <c r="BI29" i="97"/>
  <c r="BI63" i="97"/>
  <c r="BI53" i="97"/>
  <c r="BI28" i="97"/>
  <c r="BI44" i="97"/>
  <c r="BS38" i="97"/>
  <c r="BI15" i="97"/>
  <c r="BI35" i="97"/>
  <c r="BI7" i="97"/>
  <c r="CM50" i="97"/>
  <c r="CM20" i="97"/>
  <c r="BI26" i="97"/>
  <c r="BI25" i="97"/>
  <c r="BI48" i="97"/>
  <c r="BI49" i="97"/>
  <c r="BI62" i="97"/>
  <c r="BS29" i="97"/>
  <c r="BI41" i="97"/>
  <c r="BS9" i="97"/>
  <c r="BS18" i="97"/>
  <c r="BI16" i="97"/>
  <c r="BI47" i="97"/>
  <c r="BI36" i="97"/>
  <c r="BS19" i="97"/>
  <c r="BI38" i="97"/>
  <c r="BI27" i="97"/>
  <c r="BI31" i="97"/>
  <c r="BI39" i="97"/>
  <c r="BI46" i="97"/>
  <c r="BI37" i="97"/>
  <c r="CM58" i="97"/>
  <c r="BI51" i="97"/>
  <c r="BI8" i="97"/>
  <c r="BI32" i="97"/>
  <c r="BI9" i="97"/>
  <c r="BI13" i="97"/>
  <c r="BI57" i="97"/>
  <c r="BI61" i="97"/>
  <c r="CM54" i="97"/>
  <c r="CM19" i="97"/>
  <c r="CM42" i="97"/>
  <c r="CM38" i="97"/>
  <c r="BS7" i="97"/>
  <c r="BS63" i="97"/>
  <c r="CM18" i="97"/>
  <c r="BI40" i="97"/>
  <c r="BI43" i="97"/>
  <c r="BI56" i="97"/>
  <c r="BI34" i="97"/>
  <c r="BI50" i="97"/>
  <c r="BI30" i="97"/>
  <c r="BI64" i="97"/>
  <c r="BI22" i="97"/>
  <c r="BI10" i="97"/>
  <c r="BI42" i="97"/>
  <c r="BI52" i="97"/>
  <c r="BI11" i="97"/>
  <c r="BI45" i="97"/>
  <c r="BI24" i="97"/>
  <c r="BI60" i="97"/>
  <c r="BI59" i="97"/>
  <c r="BI14" i="97"/>
  <c r="BI20" i="97"/>
  <c r="BI18" i="97"/>
  <c r="BI17" i="97"/>
  <c r="BS50" i="97"/>
  <c r="BS20" i="97"/>
  <c r="BS54" i="97"/>
  <c r="BS42" i="97"/>
  <c r="CM29" i="97" l="1"/>
  <c r="CM9" i="97"/>
  <c r="BI55" i="97"/>
  <c r="BS57" i="97"/>
  <c r="BI23" i="97"/>
  <c r="CM57" i="97"/>
  <c r="BS58" i="97"/>
  <c r="CM14" i="97"/>
  <c r="CM41" i="97"/>
  <c r="CM17" i="97"/>
  <c r="CM40" i="97"/>
  <c r="CM26" i="97"/>
  <c r="CM56" i="97"/>
  <c r="CM39" i="97"/>
  <c r="CM53" i="97"/>
  <c r="CM43" i="97"/>
  <c r="CM59" i="97"/>
  <c r="CM61" i="97"/>
  <c r="CM13" i="97"/>
  <c r="CM8" i="97"/>
  <c r="CM30" i="97"/>
  <c r="CM35" i="97"/>
  <c r="CM27" i="97"/>
  <c r="CM62" i="97"/>
  <c r="CM21" i="97"/>
  <c r="CM23" i="97"/>
  <c r="CM24" i="97"/>
  <c r="CM64" i="97"/>
  <c r="CM49" i="97"/>
  <c r="CM15" i="97"/>
  <c r="CM47" i="97"/>
  <c r="CM12" i="97"/>
  <c r="CM52" i="97"/>
  <c r="CM7" i="97"/>
  <c r="CM32" i="97"/>
  <c r="CM16" i="97"/>
  <c r="CM60" i="97"/>
  <c r="CM10" i="97"/>
  <c r="CM22" i="97"/>
  <c r="CM44" i="97"/>
  <c r="CM31" i="97"/>
  <c r="CM37" i="97"/>
  <c r="CM28" i="97"/>
  <c r="CM63" i="97"/>
  <c r="CM55" i="97"/>
  <c r="CM51" i="97"/>
  <c r="CM45" i="97"/>
  <c r="CM36" i="97"/>
  <c r="CM34" i="97"/>
  <c r="CM33" i="97"/>
  <c r="CM11" i="97"/>
  <c r="CM25" i="97"/>
  <c r="CM46" i="97"/>
  <c r="CM48" i="97"/>
  <c r="BS23" i="97"/>
  <c r="BS48" i="97"/>
  <c r="BS43" i="97"/>
  <c r="BS64" i="97"/>
  <c r="BS60" i="97"/>
  <c r="BS13" i="97"/>
  <c r="BS24" i="97"/>
  <c r="BS30" i="97"/>
  <c r="BS26" i="97"/>
  <c r="BS32" i="97"/>
  <c r="BS55" i="97"/>
  <c r="BS44" i="97"/>
  <c r="BS8" i="97"/>
  <c r="BS56" i="97"/>
  <c r="BS27" i="97"/>
  <c r="BS62" i="97"/>
  <c r="BS15" i="97"/>
  <c r="BS14" i="97"/>
  <c r="BS22" i="97"/>
  <c r="BS12" i="97"/>
  <c r="BS34" i="97"/>
  <c r="BS41" i="97"/>
  <c r="BS51" i="97"/>
  <c r="BS52" i="97"/>
  <c r="BS11" i="97"/>
  <c r="BS25" i="97"/>
  <c r="BS61" i="97"/>
  <c r="BS39" i="97"/>
  <c r="BS33" i="97"/>
  <c r="BS45" i="97"/>
  <c r="BS47" i="97"/>
  <c r="BS16" i="97"/>
  <c r="BS10" i="97"/>
  <c r="BS21" i="97"/>
  <c r="BS37" i="97"/>
  <c r="BS36" i="97"/>
  <c r="BS46" i="97"/>
  <c r="BS17" i="97"/>
  <c r="BS40" i="97"/>
  <c r="BS59" i="97"/>
  <c r="BS35" i="97"/>
  <c r="BS49" i="97"/>
  <c r="BS28" i="97"/>
  <c r="BS31" i="97"/>
  <c r="BS53" i="97"/>
  <c r="AA66" i="97" l="1"/>
  <c r="Z66" i="97"/>
  <c r="DH65" i="97" l="1"/>
  <c r="DJ65" i="97" s="1"/>
  <c r="Z65" i="97"/>
  <c r="AA65" i="97"/>
  <c r="AB66" i="97"/>
  <c r="DI65" i="97" l="1"/>
  <c r="DJ13" i="97" l="1"/>
  <c r="DJ21" i="97"/>
  <c r="DJ29" i="97"/>
  <c r="DJ37" i="97"/>
  <c r="DJ45" i="97"/>
  <c r="DJ53" i="97"/>
  <c r="DJ61" i="97"/>
  <c r="DJ19" i="97"/>
  <c r="DJ27" i="97"/>
  <c r="DJ43" i="97"/>
  <c r="DJ59" i="97"/>
  <c r="DJ12" i="97"/>
  <c r="DJ20" i="97"/>
  <c r="DJ28" i="97"/>
  <c r="DJ36" i="97"/>
  <c r="DJ44" i="97"/>
  <c r="DJ52" i="97"/>
  <c r="DJ60" i="97"/>
  <c r="DJ11" i="97"/>
  <c r="DJ35" i="97"/>
  <c r="DJ51" i="97"/>
  <c r="DJ10" i="97"/>
  <c r="DJ18" i="97"/>
  <c r="DJ26" i="97"/>
  <c r="DJ34" i="97"/>
  <c r="DJ42" i="97"/>
  <c r="DJ50" i="97"/>
  <c r="DJ58" i="97"/>
  <c r="DJ9" i="97"/>
  <c r="DJ17" i="97"/>
  <c r="DJ25" i="97"/>
  <c r="DJ33" i="97"/>
  <c r="DJ41" i="97"/>
  <c r="DJ49" i="97"/>
  <c r="DJ57" i="97"/>
  <c r="DJ7" i="97"/>
  <c r="DJ8" i="97"/>
  <c r="DJ16" i="97"/>
  <c r="DJ24" i="97"/>
  <c r="DJ32" i="97"/>
  <c r="DJ40" i="97"/>
  <c r="DJ48" i="97"/>
  <c r="DJ56" i="97"/>
  <c r="DJ64" i="97"/>
  <c r="DJ15" i="97"/>
  <c r="DJ23" i="97"/>
  <c r="DJ31" i="97"/>
  <c r="DJ39" i="97"/>
  <c r="DJ47" i="97"/>
  <c r="DJ55" i="97"/>
  <c r="DJ63" i="97"/>
  <c r="DJ14" i="97"/>
  <c r="DJ22" i="97"/>
  <c r="DJ30" i="97"/>
  <c r="DJ38" i="97"/>
  <c r="DJ46" i="97"/>
  <c r="DJ54" i="97"/>
  <c r="DJ62" i="97"/>
  <c r="AB64" i="97" l="1"/>
  <c r="F65" i="97"/>
  <c r="G61" i="97" l="1"/>
  <c r="H61" i="97" s="1"/>
  <c r="G60" i="97"/>
  <c r="H60" i="97" s="1"/>
  <c r="G12" i="97"/>
  <c r="H12" i="97" s="1"/>
  <c r="G20" i="97"/>
  <c r="H20" i="97" s="1"/>
  <c r="G52" i="97"/>
  <c r="H52" i="97" s="1"/>
  <c r="G44" i="97"/>
  <c r="H44" i="97" s="1"/>
  <c r="G36" i="97"/>
  <c r="H36" i="97" s="1"/>
  <c r="G28" i="97"/>
  <c r="H28" i="97" s="1"/>
  <c r="G11" i="97"/>
  <c r="H11" i="97" s="1"/>
  <c r="G27" i="97"/>
  <c r="H27" i="97" s="1"/>
  <c r="G35" i="97"/>
  <c r="H35" i="97" s="1"/>
  <c r="G43" i="97"/>
  <c r="H43" i="97" s="1"/>
  <c r="G51" i="97"/>
  <c r="H51" i="97" s="1"/>
  <c r="G59" i="97"/>
  <c r="H59" i="97" s="1"/>
  <c r="G10" i="97"/>
  <c r="H10" i="97" s="1"/>
  <c r="G18" i="97"/>
  <c r="H18" i="97" s="1"/>
  <c r="G26" i="97"/>
  <c r="H26" i="97" s="1"/>
  <c r="G34" i="97"/>
  <c r="H34" i="97" s="1"/>
  <c r="G42" i="97"/>
  <c r="H42" i="97" s="1"/>
  <c r="G50" i="97"/>
  <c r="H50" i="97" s="1"/>
  <c r="G58" i="97"/>
  <c r="H58" i="97" s="1"/>
  <c r="G65" i="97"/>
  <c r="G9" i="97"/>
  <c r="H9" i="97" s="1"/>
  <c r="G25" i="97"/>
  <c r="H25" i="97" s="1"/>
  <c r="G41" i="97"/>
  <c r="H41" i="97" s="1"/>
  <c r="G16" i="97"/>
  <c r="H16" i="97" s="1"/>
  <c r="G40" i="97"/>
  <c r="H40" i="97" s="1"/>
  <c r="G56" i="97"/>
  <c r="H56" i="97" s="1"/>
  <c r="G7" i="97"/>
  <c r="H7" i="97" s="1"/>
  <c r="G15" i="97"/>
  <c r="H15" i="97" s="1"/>
  <c r="G23" i="97"/>
  <c r="H23" i="97" s="1"/>
  <c r="G31" i="97"/>
  <c r="H31" i="97" s="1"/>
  <c r="G39" i="97"/>
  <c r="H39" i="97" s="1"/>
  <c r="G47" i="97"/>
  <c r="H47" i="97" s="1"/>
  <c r="G55" i="97"/>
  <c r="H55" i="97" s="1"/>
  <c r="G63" i="97"/>
  <c r="H63" i="97" s="1"/>
  <c r="G8" i="97"/>
  <c r="H8" i="97" s="1"/>
  <c r="G32" i="97"/>
  <c r="H32" i="97" s="1"/>
  <c r="G48" i="97"/>
  <c r="H48" i="97" s="1"/>
  <c r="G14" i="97"/>
  <c r="H14" i="97" s="1"/>
  <c r="G22" i="97"/>
  <c r="H22" i="97" s="1"/>
  <c r="G30" i="97"/>
  <c r="H30" i="97" s="1"/>
  <c r="G38" i="97"/>
  <c r="H38" i="97" s="1"/>
  <c r="G46" i="97"/>
  <c r="H46" i="97" s="1"/>
  <c r="G54" i="97"/>
  <c r="H54" i="97" s="1"/>
  <c r="G62" i="97"/>
  <c r="H62" i="97" s="1"/>
  <c r="G19" i="97"/>
  <c r="H19" i="97" s="1"/>
  <c r="G17" i="97"/>
  <c r="H17" i="97" s="1"/>
  <c r="G33" i="97"/>
  <c r="H33" i="97" s="1"/>
  <c r="G49" i="97"/>
  <c r="H49" i="97" s="1"/>
  <c r="G57" i="97"/>
  <c r="H57" i="97" s="1"/>
  <c r="G24" i="97"/>
  <c r="H24" i="97" s="1"/>
  <c r="G64" i="97"/>
  <c r="H64" i="97" s="1"/>
  <c r="G13" i="97"/>
  <c r="H13" i="97" s="1"/>
  <c r="G21" i="97"/>
  <c r="H21" i="97" s="1"/>
  <c r="G29" i="97"/>
  <c r="H29" i="97" s="1"/>
  <c r="G37" i="97"/>
  <c r="H37" i="97" s="1"/>
  <c r="G45" i="97"/>
  <c r="H45" i="97" s="1"/>
  <c r="G53" i="97"/>
  <c r="H53" i="97" s="1"/>
  <c r="AB9" i="97"/>
  <c r="AB13" i="97"/>
  <c r="AB17" i="97"/>
  <c r="AB21" i="97"/>
  <c r="AB25" i="97"/>
  <c r="AB29" i="97"/>
  <c r="AB33" i="97"/>
  <c r="AB37" i="97"/>
  <c r="AB41" i="97"/>
  <c r="AB45" i="97"/>
  <c r="AB49" i="97"/>
  <c r="AB53" i="97"/>
  <c r="AB65" i="97"/>
  <c r="AB22" i="97"/>
  <c r="AB26" i="97"/>
  <c r="AB7" i="97"/>
  <c r="AB11" i="97"/>
  <c r="AB15" i="97"/>
  <c r="AB19" i="97"/>
  <c r="AB23" i="97"/>
  <c r="AB27" i="97"/>
  <c r="AB31" i="97"/>
  <c r="AB35" i="97"/>
  <c r="AB39" i="97"/>
  <c r="AB43" i="97"/>
  <c r="AB47" i="97"/>
  <c r="AB51" i="97"/>
  <c r="AB55" i="97"/>
  <c r="AB59" i="97"/>
  <c r="AB63" i="97"/>
  <c r="AB18" i="97"/>
  <c r="AB50" i="97"/>
  <c r="AB58" i="97"/>
  <c r="AB57" i="97"/>
  <c r="AB61" i="97"/>
  <c r="AB10" i="97"/>
  <c r="AB14" i="97"/>
  <c r="AB30" i="97"/>
  <c r="AB34" i="97"/>
  <c r="AB38" i="97"/>
  <c r="AB42" i="97"/>
  <c r="AB46" i="97"/>
  <c r="AB54" i="97"/>
  <c r="AB62" i="97"/>
  <c r="AB8" i="97"/>
  <c r="AB12" i="97"/>
  <c r="AB16" i="97"/>
  <c r="AB20" i="97"/>
  <c r="AB24" i="97"/>
  <c r="AB28" i="97"/>
  <c r="AB32" i="97"/>
  <c r="AB36" i="97"/>
  <c r="AB40" i="97"/>
  <c r="AB44" i="97"/>
  <c r="AB48" i="97"/>
  <c r="AB52" i="97"/>
  <c r="AB56" i="97"/>
  <c r="AB60" i="97"/>
  <c r="DC8" i="97" l="1"/>
  <c r="DD8" i="97"/>
  <c r="DC9" i="97"/>
  <c r="DD9" i="97"/>
  <c r="DE9" i="97"/>
  <c r="DF9" i="97"/>
  <c r="DC10" i="97"/>
  <c r="DD10" i="97"/>
  <c r="DC11" i="97"/>
  <c r="DD11" i="97"/>
  <c r="DE11" i="97"/>
  <c r="DF11" i="97"/>
  <c r="DC12" i="97"/>
  <c r="DD12" i="97"/>
  <c r="DE12" i="97"/>
  <c r="DF12" i="97"/>
  <c r="DC13" i="97"/>
  <c r="DD13" i="97"/>
  <c r="DC14" i="97"/>
  <c r="DD14" i="97"/>
  <c r="DE14" i="97"/>
  <c r="DF14" i="97"/>
  <c r="DC15" i="97"/>
  <c r="DD15" i="97"/>
  <c r="DE15" i="97"/>
  <c r="DF15" i="97"/>
  <c r="DC16" i="97"/>
  <c r="DD16" i="97"/>
  <c r="DE16" i="97"/>
  <c r="DF16" i="97"/>
  <c r="DC17" i="97"/>
  <c r="DD17" i="97"/>
  <c r="DE17" i="97"/>
  <c r="DF17" i="97"/>
  <c r="DC18" i="97"/>
  <c r="DD18" i="97"/>
  <c r="DE18" i="97"/>
  <c r="DF18" i="97"/>
  <c r="DC19" i="97"/>
  <c r="DD19" i="97"/>
  <c r="DE19" i="97"/>
  <c r="DF19" i="97"/>
  <c r="DC20" i="97"/>
  <c r="DD20" i="97"/>
  <c r="DE20" i="97"/>
  <c r="DF20" i="97"/>
  <c r="DC21" i="97"/>
  <c r="DD21" i="97"/>
  <c r="DE21" i="97"/>
  <c r="DF21" i="97"/>
  <c r="DC22" i="97"/>
  <c r="DD22" i="97"/>
  <c r="DE22" i="97"/>
  <c r="DF22" i="97"/>
  <c r="DC23" i="97"/>
  <c r="DD23" i="97"/>
  <c r="DE23" i="97"/>
  <c r="DF23" i="97"/>
  <c r="DC24" i="97"/>
  <c r="DD24" i="97"/>
  <c r="DE24" i="97"/>
  <c r="DF24" i="97"/>
  <c r="DC25" i="97"/>
  <c r="DD25" i="97"/>
  <c r="DE25" i="97"/>
  <c r="DF25" i="97"/>
  <c r="DC26" i="97"/>
  <c r="DD26" i="97"/>
  <c r="DE26" i="97"/>
  <c r="DF26" i="97"/>
  <c r="DC27" i="97"/>
  <c r="DD27" i="97"/>
  <c r="DE27" i="97"/>
  <c r="DF27" i="97"/>
  <c r="DC28" i="97"/>
  <c r="DD28" i="97"/>
  <c r="DE28" i="97"/>
  <c r="DF28" i="97"/>
  <c r="DC29" i="97"/>
  <c r="DD29" i="97"/>
  <c r="DE29" i="97"/>
  <c r="DF29" i="97"/>
  <c r="DC30" i="97"/>
  <c r="DD30" i="97"/>
  <c r="DE30" i="97"/>
  <c r="DF30" i="97"/>
  <c r="DC31" i="97"/>
  <c r="DD31" i="97"/>
  <c r="DE31" i="97"/>
  <c r="DF31" i="97"/>
  <c r="DC32" i="97"/>
  <c r="DD32" i="97"/>
  <c r="DE32" i="97"/>
  <c r="DF32" i="97"/>
  <c r="DC33" i="97"/>
  <c r="DD33" i="97"/>
  <c r="DE33" i="97"/>
  <c r="DF33" i="97"/>
  <c r="DC34" i="97"/>
  <c r="DD34" i="97"/>
  <c r="DE34" i="97"/>
  <c r="DF34" i="97"/>
  <c r="DC35" i="97"/>
  <c r="DD35" i="97"/>
  <c r="DE35" i="97"/>
  <c r="DF35" i="97"/>
  <c r="DC36" i="97"/>
  <c r="DD36" i="97"/>
  <c r="DE36" i="97"/>
  <c r="DF36" i="97"/>
  <c r="DC37" i="97"/>
  <c r="DD37" i="97"/>
  <c r="DE37" i="97"/>
  <c r="DF37" i="97"/>
  <c r="DC38" i="97"/>
  <c r="DD38" i="97"/>
  <c r="DE38" i="97"/>
  <c r="DF38" i="97"/>
  <c r="DC39" i="97"/>
  <c r="DD39" i="97"/>
  <c r="DE39" i="97"/>
  <c r="DF39" i="97"/>
  <c r="DC40" i="97"/>
  <c r="DD40" i="97"/>
  <c r="DE40" i="97"/>
  <c r="DF40" i="97"/>
  <c r="DC41" i="97"/>
  <c r="DD41" i="97"/>
  <c r="DE41" i="97"/>
  <c r="DF41" i="97"/>
  <c r="DC42" i="97"/>
  <c r="DD42" i="97"/>
  <c r="DE42" i="97"/>
  <c r="DF42" i="97"/>
  <c r="DC43" i="97"/>
  <c r="DD43" i="97"/>
  <c r="DE43" i="97"/>
  <c r="DF43" i="97"/>
  <c r="DC44" i="97"/>
  <c r="DD44" i="97"/>
  <c r="DE44" i="97"/>
  <c r="DF44" i="97"/>
  <c r="DC45" i="97"/>
  <c r="DD45" i="97"/>
  <c r="DE45" i="97"/>
  <c r="DF45" i="97"/>
  <c r="DC46" i="97"/>
  <c r="DD46" i="97"/>
  <c r="DE46" i="97"/>
  <c r="DF46" i="97"/>
  <c r="DC47" i="97"/>
  <c r="DD47" i="97"/>
  <c r="DE47" i="97"/>
  <c r="DF47" i="97"/>
  <c r="DC48" i="97"/>
  <c r="DD48" i="97"/>
  <c r="DE48" i="97"/>
  <c r="DF48" i="97"/>
  <c r="DC49" i="97"/>
  <c r="DD49" i="97"/>
  <c r="DE49" i="97"/>
  <c r="DF49" i="97"/>
  <c r="DC50" i="97"/>
  <c r="DD50" i="97"/>
  <c r="DE50" i="97"/>
  <c r="DF50" i="97"/>
  <c r="DC51" i="97"/>
  <c r="DD51" i="97"/>
  <c r="DE51" i="97"/>
  <c r="DF51" i="97"/>
  <c r="DC52" i="97"/>
  <c r="DD52" i="97"/>
  <c r="DE52" i="97"/>
  <c r="DF52" i="97"/>
  <c r="DC53" i="97"/>
  <c r="DD53" i="97"/>
  <c r="DE53" i="97"/>
  <c r="DF53" i="97"/>
  <c r="DC54" i="97"/>
  <c r="DD54" i="97"/>
  <c r="DE54" i="97"/>
  <c r="DF54" i="97"/>
  <c r="DC55" i="97"/>
  <c r="DD55" i="97"/>
  <c r="DE55" i="97"/>
  <c r="DF55" i="97"/>
  <c r="DC56" i="97"/>
  <c r="DD56" i="97"/>
  <c r="DE56" i="97"/>
  <c r="DF56" i="97"/>
  <c r="DC57" i="97"/>
  <c r="DD57" i="97"/>
  <c r="DE57" i="97"/>
  <c r="DF57" i="97"/>
  <c r="DC58" i="97"/>
  <c r="DD58" i="97"/>
  <c r="DE58" i="97"/>
  <c r="DF58" i="97"/>
  <c r="DC59" i="97"/>
  <c r="DD59" i="97"/>
  <c r="DE59" i="97"/>
  <c r="DF59" i="97"/>
  <c r="DC60" i="97"/>
  <c r="DD60" i="97"/>
  <c r="DE60" i="97"/>
  <c r="DF60" i="97"/>
  <c r="DC61" i="97"/>
  <c r="DD61" i="97"/>
  <c r="DE61" i="97"/>
  <c r="DF61" i="97"/>
  <c r="DC62" i="97"/>
  <c r="DD62" i="97"/>
  <c r="DE62" i="97"/>
  <c r="DF62" i="97"/>
  <c r="DC63" i="97"/>
  <c r="DD63" i="97"/>
  <c r="DE63" i="97"/>
  <c r="DF63" i="97"/>
  <c r="DC64" i="97"/>
  <c r="DD64" i="97"/>
  <c r="DE64" i="97"/>
  <c r="DF64" i="97"/>
  <c r="DD7" i="97"/>
  <c r="DC7" i="97"/>
  <c r="DB89" i="97" l="1"/>
  <c r="DB91" i="97"/>
  <c r="DE89" i="97"/>
  <c r="DE91" i="97"/>
  <c r="DE76" i="97"/>
  <c r="DE78" i="97"/>
  <c r="DC89" i="97"/>
  <c r="DC91" i="97"/>
  <c r="DD76" i="97"/>
  <c r="DD78" i="97"/>
  <c r="DB76" i="97"/>
  <c r="DB78" i="97"/>
  <c r="DD89" i="97"/>
  <c r="DD91" i="97"/>
  <c r="DC78" i="97"/>
  <c r="DC76" i="97"/>
  <c r="DE8" i="97"/>
  <c r="DE10" i="97"/>
  <c r="DE7" i="97"/>
  <c r="DE13" i="97"/>
  <c r="DF13" i="97"/>
  <c r="DF8" i="97"/>
  <c r="DF10" i="97"/>
  <c r="DF7" i="97"/>
  <c r="DF77" i="97"/>
  <c r="DE71" i="97"/>
  <c r="DE70" i="97"/>
  <c r="DB77" i="97" a="1"/>
  <c r="DB77" i="97" s="1"/>
  <c r="DF71" i="97"/>
  <c r="DF76" i="97"/>
  <c r="DE69" i="97"/>
  <c r="DD77" i="97" a="1"/>
  <c r="DD77" i="97" s="1"/>
  <c r="DF78" i="97"/>
  <c r="DC77" i="97" a="1"/>
  <c r="DC77" i="97" s="1"/>
  <c r="DE77" i="97" a="1"/>
  <c r="DE77" i="97" s="1"/>
  <c r="DF70" i="97"/>
  <c r="DF69" i="97"/>
  <c r="DB84" i="97"/>
  <c r="DB82" i="97"/>
  <c r="DB83" i="97"/>
  <c r="DF84" i="97"/>
  <c r="DE83" i="97"/>
  <c r="DF89" i="97"/>
  <c r="DE82" i="97"/>
  <c r="DD90" i="97" a="1"/>
  <c r="DD90" i="97" s="1"/>
  <c r="DF90" i="97"/>
  <c r="DB90" i="97" a="1"/>
  <c r="DB90" i="97" s="1"/>
  <c r="DF82" i="97"/>
  <c r="DF91" i="97"/>
  <c r="DC90" i="97" a="1"/>
  <c r="DC90" i="97" s="1"/>
  <c r="DE84" i="97"/>
  <c r="DE90" i="97" a="1"/>
  <c r="DE90" i="97" s="1"/>
  <c r="DF83" i="97"/>
  <c r="DD70" i="97"/>
  <c r="DD69" i="97"/>
  <c r="DD71" i="97"/>
  <c r="DB70" i="97"/>
  <c r="DB71" i="97"/>
  <c r="DB69" i="97"/>
  <c r="DD82" i="97"/>
  <c r="DD84" i="97"/>
  <c r="DD83" i="97"/>
  <c r="DC71" i="97"/>
  <c r="DC70" i="97"/>
  <c r="DC69" i="97"/>
  <c r="DC84" i="97"/>
  <c r="DC83" i="97"/>
  <c r="DC82" i="97"/>
  <c r="FR4" i="97" l="1"/>
  <c r="GD4" i="97"/>
  <c r="GC4" i="97"/>
  <c r="GB4" i="97"/>
  <c r="GA4" i="97"/>
  <c r="GM4" i="97"/>
  <c r="GL4" i="97"/>
  <c r="GK4" i="97"/>
  <c r="GJ4" i="97"/>
  <c r="GI4" i="97"/>
  <c r="GI8" i="97"/>
  <c r="GI9" i="97"/>
  <c r="GI10" i="97"/>
  <c r="GI11" i="97"/>
  <c r="GI12" i="97"/>
  <c r="GI13" i="97"/>
  <c r="GI14" i="97"/>
  <c r="GI15" i="97"/>
  <c r="GI16" i="97"/>
  <c r="GI17" i="97"/>
  <c r="GI18" i="97"/>
  <c r="GI19" i="97"/>
  <c r="GI20" i="97"/>
  <c r="GI21" i="97"/>
  <c r="GI22" i="97"/>
  <c r="GI23" i="97"/>
  <c r="GI24" i="97"/>
  <c r="GI25" i="97"/>
  <c r="GI26" i="97"/>
  <c r="GI27" i="97"/>
  <c r="GI28" i="97"/>
  <c r="GI29" i="97"/>
  <c r="GI30" i="97"/>
  <c r="GI31" i="97"/>
  <c r="GI32" i="97"/>
  <c r="GI33" i="97"/>
  <c r="GI34" i="97"/>
  <c r="GI35" i="97"/>
  <c r="GI36" i="97"/>
  <c r="GI37" i="97"/>
  <c r="GI38" i="97"/>
  <c r="GI39" i="97"/>
  <c r="GI40" i="97"/>
  <c r="GI41" i="97"/>
  <c r="GI42" i="97"/>
  <c r="GI43" i="97"/>
  <c r="GI44" i="97"/>
  <c r="GI45" i="97"/>
  <c r="GI46" i="97"/>
  <c r="GI47" i="97"/>
  <c r="GI48" i="97"/>
  <c r="GI49" i="97"/>
  <c r="GI50" i="97"/>
  <c r="GI51" i="97"/>
  <c r="GI52" i="97"/>
  <c r="GI53" i="97"/>
  <c r="GI54" i="97"/>
  <c r="GI55" i="97"/>
  <c r="GI56" i="97"/>
  <c r="GI57" i="97"/>
  <c r="GI58" i="97"/>
  <c r="GI59" i="97"/>
  <c r="GI60" i="97"/>
  <c r="GI61" i="97"/>
  <c r="GI62" i="97"/>
  <c r="GI63" i="97"/>
  <c r="GI64" i="97"/>
  <c r="GI7" i="97"/>
  <c r="FR8" i="97"/>
  <c r="FR9" i="97"/>
  <c r="FR10" i="97"/>
  <c r="FR11" i="97"/>
  <c r="FR12" i="97"/>
  <c r="FR13" i="97"/>
  <c r="FR14" i="97"/>
  <c r="FR15" i="97"/>
  <c r="FR16" i="97"/>
  <c r="FR17" i="97"/>
  <c r="FR18" i="97"/>
  <c r="FR19" i="97"/>
  <c r="FR20" i="97"/>
  <c r="FR21" i="97"/>
  <c r="FR22" i="97"/>
  <c r="FR23" i="97"/>
  <c r="FR24" i="97"/>
  <c r="FR25" i="97"/>
  <c r="FR26" i="97"/>
  <c r="FR27" i="97"/>
  <c r="FR28" i="97"/>
  <c r="FR29" i="97"/>
  <c r="FR30" i="97"/>
  <c r="FR31" i="97"/>
  <c r="FR32" i="97"/>
  <c r="FR33" i="97"/>
  <c r="FR34" i="97"/>
  <c r="FR35" i="97"/>
  <c r="FR36" i="97"/>
  <c r="FR37" i="97"/>
  <c r="FR38" i="97"/>
  <c r="FR39" i="97"/>
  <c r="FR40" i="97"/>
  <c r="FR41" i="97"/>
  <c r="FR42" i="97"/>
  <c r="FR43" i="97"/>
  <c r="FR44" i="97"/>
  <c r="FR45" i="97"/>
  <c r="FR46" i="97"/>
  <c r="FR47" i="97"/>
  <c r="FR48" i="97"/>
  <c r="FR49" i="97"/>
  <c r="FR50" i="97"/>
  <c r="FR51" i="97"/>
  <c r="FR52" i="97"/>
  <c r="FR53" i="97"/>
  <c r="FR54" i="97"/>
  <c r="FR55" i="97"/>
  <c r="FR56" i="97"/>
  <c r="FR57" i="97"/>
  <c r="FR58" i="97"/>
  <c r="FR59" i="97"/>
  <c r="FR60" i="97"/>
  <c r="FR61" i="97"/>
  <c r="FR62" i="97"/>
  <c r="FR63" i="97"/>
  <c r="FR64" i="97"/>
  <c r="FR7" i="97"/>
  <c r="FJ8" i="97"/>
  <c r="FJ9" i="97"/>
  <c r="FJ10" i="97"/>
  <c r="FJ11" i="97"/>
  <c r="FJ12" i="97"/>
  <c r="FJ13" i="97"/>
  <c r="FJ14" i="97"/>
  <c r="FJ15" i="97"/>
  <c r="FJ16" i="97"/>
  <c r="FJ17" i="97"/>
  <c r="FJ18" i="97"/>
  <c r="FJ19" i="97"/>
  <c r="FJ20" i="97"/>
  <c r="FJ21" i="97"/>
  <c r="FJ22" i="97"/>
  <c r="FJ23" i="97"/>
  <c r="FJ24" i="97"/>
  <c r="FJ25" i="97"/>
  <c r="FJ26" i="97"/>
  <c r="FJ27" i="97"/>
  <c r="FJ28" i="97"/>
  <c r="FJ29" i="97"/>
  <c r="FJ30" i="97"/>
  <c r="FJ31" i="97"/>
  <c r="FJ32" i="97"/>
  <c r="FJ33" i="97"/>
  <c r="FJ34" i="97"/>
  <c r="FJ35" i="97"/>
  <c r="FJ36" i="97"/>
  <c r="FJ37" i="97"/>
  <c r="FJ38" i="97"/>
  <c r="FJ39" i="97"/>
  <c r="FJ40" i="97"/>
  <c r="FJ41" i="97"/>
  <c r="FJ42" i="97"/>
  <c r="FJ43" i="97"/>
  <c r="FJ44" i="97"/>
  <c r="FJ45" i="97"/>
  <c r="FJ46" i="97"/>
  <c r="FJ47" i="97"/>
  <c r="FJ48" i="97"/>
  <c r="FJ49" i="97"/>
  <c r="FJ50" i="97"/>
  <c r="FJ51" i="97"/>
  <c r="FJ52" i="97"/>
  <c r="FJ53" i="97"/>
  <c r="FJ54" i="97"/>
  <c r="FJ55" i="97"/>
  <c r="FJ56" i="97"/>
  <c r="FJ57" i="97"/>
  <c r="FJ58" i="97"/>
  <c r="FJ59" i="97"/>
  <c r="FJ60" i="97"/>
  <c r="FJ61" i="97"/>
  <c r="FJ62" i="97"/>
  <c r="FJ63" i="97"/>
  <c r="FJ64" i="97"/>
  <c r="FJ7" i="97"/>
  <c r="FF8" i="97"/>
  <c r="FF9" i="97"/>
  <c r="FF10" i="97"/>
  <c r="FF11" i="97"/>
  <c r="FF12" i="97"/>
  <c r="FF13" i="97"/>
  <c r="FF14" i="97"/>
  <c r="FF15" i="97"/>
  <c r="FF16" i="97"/>
  <c r="FF17" i="97"/>
  <c r="FF18" i="97"/>
  <c r="FF19" i="97"/>
  <c r="FF20" i="97"/>
  <c r="FF21" i="97"/>
  <c r="FF22" i="97"/>
  <c r="FF23" i="97"/>
  <c r="FF24" i="97"/>
  <c r="FF25" i="97"/>
  <c r="FF26" i="97"/>
  <c r="FF27" i="97"/>
  <c r="FF28" i="97"/>
  <c r="FF29" i="97"/>
  <c r="FF30" i="97"/>
  <c r="FF31" i="97"/>
  <c r="FF32" i="97"/>
  <c r="FF33" i="97"/>
  <c r="FF34" i="97"/>
  <c r="FF35" i="97"/>
  <c r="FF36" i="97"/>
  <c r="FF37" i="97"/>
  <c r="FF38" i="97"/>
  <c r="FF39" i="97"/>
  <c r="FF40" i="97"/>
  <c r="FF41" i="97"/>
  <c r="FF42" i="97"/>
  <c r="FF43" i="97"/>
  <c r="FF44" i="97"/>
  <c r="FF45" i="97"/>
  <c r="FF46" i="97"/>
  <c r="FF47" i="97"/>
  <c r="FF48" i="97"/>
  <c r="FF49" i="97"/>
  <c r="FF50" i="97"/>
  <c r="FF51" i="97"/>
  <c r="FF52" i="97"/>
  <c r="FF53" i="97"/>
  <c r="FF54" i="97"/>
  <c r="FF55" i="97"/>
  <c r="FF56" i="97"/>
  <c r="FF57" i="97"/>
  <c r="FF58" i="97"/>
  <c r="FF59" i="97"/>
  <c r="FF60" i="97"/>
  <c r="FF61" i="97"/>
  <c r="FF62" i="97"/>
  <c r="FF63" i="97"/>
  <c r="FF64" i="97"/>
  <c r="FF7" i="97"/>
  <c r="EA8" i="97"/>
  <c r="EA9" i="97"/>
  <c r="EA10" i="97"/>
  <c r="EA11" i="97"/>
  <c r="EA12" i="97"/>
  <c r="EA13" i="97"/>
  <c r="EA14" i="97"/>
  <c r="EA15" i="97"/>
  <c r="EA16" i="97"/>
  <c r="EA17" i="97"/>
  <c r="EA18" i="97"/>
  <c r="EA19" i="97"/>
  <c r="EA20" i="97"/>
  <c r="EA21" i="97"/>
  <c r="EA22" i="97"/>
  <c r="EA23" i="97"/>
  <c r="EA24" i="97"/>
  <c r="EA25" i="97"/>
  <c r="EA26" i="97"/>
  <c r="EA27" i="97"/>
  <c r="EA28" i="97"/>
  <c r="EA29" i="97"/>
  <c r="EA30" i="97"/>
  <c r="EA31" i="97"/>
  <c r="EA32" i="97"/>
  <c r="EA33" i="97"/>
  <c r="EA34" i="97"/>
  <c r="EA35" i="97"/>
  <c r="EA36" i="97"/>
  <c r="EA37" i="97"/>
  <c r="EA38" i="97"/>
  <c r="EA39" i="97"/>
  <c r="EA40" i="97"/>
  <c r="EA41" i="97"/>
  <c r="EA42" i="97"/>
  <c r="EA43" i="97"/>
  <c r="EA44" i="97"/>
  <c r="EA45" i="97"/>
  <c r="EA46" i="97"/>
  <c r="EA47" i="97"/>
  <c r="EA48" i="97"/>
  <c r="EA49" i="97"/>
  <c r="EA50" i="97"/>
  <c r="EA51" i="97"/>
  <c r="EA52" i="97"/>
  <c r="EA53" i="97"/>
  <c r="EA54" i="97"/>
  <c r="EA55" i="97"/>
  <c r="EA56" i="97"/>
  <c r="EA57" i="97"/>
  <c r="EA58" i="97"/>
  <c r="EA59" i="97"/>
  <c r="EA60" i="97"/>
  <c r="EA61" i="97"/>
  <c r="EA62" i="97"/>
  <c r="EA63" i="97"/>
  <c r="EA64" i="97"/>
  <c r="EA7" i="97"/>
  <c r="DW8" i="97"/>
  <c r="DW9" i="97"/>
  <c r="DW10" i="97"/>
  <c r="DW11" i="97"/>
  <c r="DW12" i="97"/>
  <c r="DW13" i="97"/>
  <c r="DW14" i="97"/>
  <c r="DW15" i="97"/>
  <c r="DW16" i="97"/>
  <c r="DW17" i="97"/>
  <c r="DW18" i="97"/>
  <c r="DW19" i="97"/>
  <c r="DW20" i="97"/>
  <c r="DW21" i="97"/>
  <c r="DW22" i="97"/>
  <c r="DW23" i="97"/>
  <c r="DW24" i="97"/>
  <c r="DW25" i="97"/>
  <c r="DW26" i="97"/>
  <c r="DW27" i="97"/>
  <c r="DW28" i="97"/>
  <c r="DW29" i="97"/>
  <c r="DW30" i="97"/>
  <c r="DW31" i="97"/>
  <c r="DW32" i="97"/>
  <c r="DW33" i="97"/>
  <c r="DW34" i="97"/>
  <c r="DW35" i="97"/>
  <c r="DW36" i="97"/>
  <c r="DW37" i="97"/>
  <c r="DW38" i="97"/>
  <c r="DW39" i="97"/>
  <c r="DW40" i="97"/>
  <c r="DW41" i="97"/>
  <c r="DW42" i="97"/>
  <c r="DW43" i="97"/>
  <c r="DW44" i="97"/>
  <c r="DW45" i="97"/>
  <c r="DW46" i="97"/>
  <c r="DW47" i="97"/>
  <c r="DW48" i="97"/>
  <c r="DW49" i="97"/>
  <c r="DW50" i="97"/>
  <c r="DW51" i="97"/>
  <c r="DW52" i="97"/>
  <c r="DW53" i="97"/>
  <c r="DW54" i="97"/>
  <c r="DW55" i="97"/>
  <c r="DW56" i="97"/>
  <c r="DW57" i="97"/>
  <c r="DW58" i="97"/>
  <c r="DW59" i="97"/>
  <c r="DW60" i="97"/>
  <c r="DW61" i="97"/>
  <c r="DW62" i="97"/>
  <c r="DW63" i="97"/>
  <c r="DW64" i="97"/>
  <c r="DW7" i="97"/>
  <c r="DS8" i="97"/>
  <c r="DS9" i="97"/>
  <c r="DS10" i="97"/>
  <c r="DS11" i="97"/>
  <c r="DS12" i="97"/>
  <c r="DS13" i="97"/>
  <c r="DS14" i="97"/>
  <c r="DS15" i="97"/>
  <c r="DS16" i="97"/>
  <c r="DS17" i="97"/>
  <c r="DS18" i="97"/>
  <c r="DS19" i="97"/>
  <c r="DS20" i="97"/>
  <c r="DS21" i="97"/>
  <c r="DS22" i="97"/>
  <c r="DS23" i="97"/>
  <c r="DS24" i="97"/>
  <c r="DS25" i="97"/>
  <c r="DS26" i="97"/>
  <c r="DS27" i="97"/>
  <c r="DS28" i="97"/>
  <c r="DS29" i="97"/>
  <c r="DS30" i="97"/>
  <c r="DS31" i="97"/>
  <c r="DS32" i="97"/>
  <c r="DS33" i="97"/>
  <c r="DS34" i="97"/>
  <c r="DS35" i="97"/>
  <c r="DS36" i="97"/>
  <c r="DS37" i="97"/>
  <c r="DS38" i="97"/>
  <c r="DS39" i="97"/>
  <c r="DS40" i="97"/>
  <c r="DS41" i="97"/>
  <c r="DS42" i="97"/>
  <c r="DS43" i="97"/>
  <c r="DS44" i="97"/>
  <c r="DS45" i="97"/>
  <c r="DS46" i="97"/>
  <c r="DS47" i="97"/>
  <c r="DS48" i="97"/>
  <c r="DS49" i="97"/>
  <c r="DS50" i="97"/>
  <c r="DS51" i="97"/>
  <c r="DS52" i="97"/>
  <c r="DS53" i="97"/>
  <c r="DS54" i="97"/>
  <c r="DS55" i="97"/>
  <c r="DS56" i="97"/>
  <c r="DS57" i="97"/>
  <c r="DS58" i="97"/>
  <c r="DS59" i="97"/>
  <c r="DS60" i="97"/>
  <c r="DS61" i="97"/>
  <c r="DS62" i="97"/>
  <c r="DS63" i="97"/>
  <c r="DS64" i="97"/>
  <c r="DS7" i="97"/>
  <c r="FB8" i="97"/>
  <c r="FB9" i="97"/>
  <c r="FB10" i="97"/>
  <c r="FB11" i="97"/>
  <c r="FB12" i="97"/>
  <c r="FB13" i="97"/>
  <c r="FB14" i="97"/>
  <c r="FB15" i="97"/>
  <c r="FB16" i="97"/>
  <c r="FB17" i="97"/>
  <c r="FB18" i="97"/>
  <c r="FB19" i="97"/>
  <c r="FB20" i="97"/>
  <c r="FB21" i="97"/>
  <c r="FB22" i="97"/>
  <c r="FB23" i="97"/>
  <c r="FB24" i="97"/>
  <c r="FB25" i="97"/>
  <c r="FB26" i="97"/>
  <c r="FB27" i="97"/>
  <c r="FB28" i="97"/>
  <c r="FB29" i="97"/>
  <c r="FB30" i="97"/>
  <c r="FB31" i="97"/>
  <c r="FB32" i="97"/>
  <c r="FB33" i="97"/>
  <c r="FB34" i="97"/>
  <c r="FB35" i="97"/>
  <c r="FB36" i="97"/>
  <c r="FB37" i="97"/>
  <c r="FB38" i="97"/>
  <c r="FB39" i="97"/>
  <c r="FB40" i="97"/>
  <c r="FB41" i="97"/>
  <c r="FB42" i="97"/>
  <c r="FB43" i="97"/>
  <c r="FB44" i="97"/>
  <c r="FB45" i="97"/>
  <c r="FB46" i="97"/>
  <c r="FB47" i="97"/>
  <c r="FB48" i="97"/>
  <c r="FB49" i="97"/>
  <c r="FB50" i="97"/>
  <c r="FB51" i="97"/>
  <c r="FB52" i="97"/>
  <c r="FB53" i="97"/>
  <c r="FB54" i="97"/>
  <c r="FB55" i="97"/>
  <c r="FB56" i="97"/>
  <c r="FB57" i="97"/>
  <c r="FB58" i="97"/>
  <c r="FB59" i="97"/>
  <c r="FB60" i="97"/>
  <c r="FB61" i="97"/>
  <c r="FB62" i="97"/>
  <c r="FB63" i="97"/>
  <c r="FB64" i="97"/>
  <c r="FB7" i="97"/>
  <c r="P65" i="97" l="1"/>
  <c r="Q60" i="97" l="1"/>
  <c r="Q21" i="97"/>
  <c r="Q40" i="97"/>
  <c r="Q54" i="97"/>
  <c r="Q20" i="97"/>
  <c r="Q64" i="97"/>
  <c r="Q43" i="97"/>
  <c r="Q12" i="97"/>
  <c r="Q11" i="97"/>
  <c r="Q44" i="97"/>
  <c r="Q32" i="97"/>
  <c r="Q22" i="97"/>
  <c r="Q63" i="97"/>
  <c r="Q16" i="97"/>
  <c r="Q38" i="97"/>
  <c r="Q61" i="97"/>
  <c r="Q31" i="97"/>
  <c r="Q10" i="97"/>
  <c r="Q30" i="97"/>
  <c r="Q52" i="97"/>
  <c r="Q53" i="97"/>
  <c r="Q8" i="97"/>
  <c r="Q28" i="97"/>
  <c r="Q48" i="97"/>
  <c r="Q9" i="97"/>
  <c r="Q19" i="97"/>
  <c r="Q29" i="97"/>
  <c r="Q39" i="97"/>
  <c r="Q51" i="97"/>
  <c r="Q62" i="97"/>
  <c r="Q7" i="97"/>
  <c r="Q15" i="97"/>
  <c r="Q27" i="97"/>
  <c r="Q37" i="97"/>
  <c r="Q47" i="97"/>
  <c r="Q59" i="97"/>
  <c r="Q14" i="97"/>
  <c r="Q24" i="97"/>
  <c r="Q36" i="97"/>
  <c r="Q46" i="97"/>
  <c r="Q56" i="97"/>
  <c r="Q13" i="97"/>
  <c r="Q23" i="97"/>
  <c r="Q35" i="97"/>
  <c r="Q45" i="97"/>
  <c r="Q55" i="97"/>
  <c r="Q18" i="97"/>
  <c r="Q26" i="97"/>
  <c r="Q34" i="97"/>
  <c r="Q42" i="97"/>
  <c r="Q50" i="97"/>
  <c r="Q58" i="97"/>
  <c r="Q17" i="97"/>
  <c r="Q25" i="97"/>
  <c r="Q33" i="97"/>
  <c r="Q41" i="97"/>
  <c r="Q49" i="97"/>
  <c r="Q57" i="97"/>
  <c r="Q65" i="97"/>
  <c r="GR65" i="97" l="1"/>
  <c r="GI65" i="97"/>
  <c r="GA65" i="97"/>
  <c r="FS65" i="97"/>
  <c r="FR65" i="97"/>
  <c r="FT64" i="97"/>
  <c r="FT63" i="97"/>
  <c r="FT62" i="97"/>
  <c r="FT61" i="97"/>
  <c r="FT60" i="97"/>
  <c r="FT59" i="97"/>
  <c r="FT58" i="97"/>
  <c r="GM58" i="97" s="1"/>
  <c r="FT57" i="97"/>
  <c r="FT56" i="97"/>
  <c r="FT55" i="97"/>
  <c r="FT54" i="97"/>
  <c r="FT53" i="97"/>
  <c r="FT52" i="97"/>
  <c r="GM52" i="97" s="1"/>
  <c r="FT51" i="97"/>
  <c r="FT50" i="97"/>
  <c r="FT49" i="97"/>
  <c r="FT48" i="97"/>
  <c r="FT47" i="97"/>
  <c r="FT46" i="97"/>
  <c r="FT45" i="97"/>
  <c r="FT44" i="97"/>
  <c r="GM44" i="97" s="1"/>
  <c r="FT43" i="97"/>
  <c r="FT42" i="97"/>
  <c r="GM42" i="97" s="1"/>
  <c r="FT41" i="97"/>
  <c r="FT40" i="97"/>
  <c r="FT39" i="97"/>
  <c r="FT38" i="97"/>
  <c r="GM38" i="97" s="1"/>
  <c r="FT37" i="97"/>
  <c r="FT36" i="97"/>
  <c r="GM36" i="97" s="1"/>
  <c r="FT35" i="97"/>
  <c r="FT34" i="97"/>
  <c r="FT33" i="97"/>
  <c r="FT32" i="97"/>
  <c r="FT31" i="97"/>
  <c r="FT30" i="97"/>
  <c r="FT29" i="97"/>
  <c r="FT28" i="97"/>
  <c r="FT27" i="97"/>
  <c r="FT26" i="97"/>
  <c r="GM26" i="97" s="1"/>
  <c r="FT25" i="97"/>
  <c r="FT24" i="97"/>
  <c r="FT23" i="97"/>
  <c r="FT22" i="97"/>
  <c r="FT21" i="97"/>
  <c r="FT20" i="97"/>
  <c r="GM20" i="97" s="1"/>
  <c r="FT19" i="97"/>
  <c r="FT18" i="97"/>
  <c r="FT17" i="97"/>
  <c r="FT16" i="97"/>
  <c r="FT15" i="97"/>
  <c r="FT14" i="97"/>
  <c r="FT13" i="97"/>
  <c r="FT12" i="97"/>
  <c r="FT11" i="97"/>
  <c r="FT10" i="97"/>
  <c r="FT9" i="97"/>
  <c r="FT8" i="97"/>
  <c r="FT7" i="97"/>
  <c r="FO65" i="97"/>
  <c r="FN65" i="97"/>
  <c r="FP64" i="97"/>
  <c r="FP63" i="97"/>
  <c r="FP62" i="97"/>
  <c r="FP61" i="97"/>
  <c r="FP60" i="97"/>
  <c r="FP59" i="97"/>
  <c r="FP58" i="97"/>
  <c r="GL58" i="97" s="1"/>
  <c r="FP57" i="97"/>
  <c r="FP56" i="97"/>
  <c r="FP55" i="97"/>
  <c r="FP54" i="97"/>
  <c r="FP53" i="97"/>
  <c r="FP52" i="97"/>
  <c r="FP51" i="97"/>
  <c r="FP50" i="97"/>
  <c r="FP49" i="97"/>
  <c r="FP48" i="97"/>
  <c r="FP47" i="97"/>
  <c r="FP46" i="97"/>
  <c r="FP45" i="97"/>
  <c r="FP44" i="97"/>
  <c r="GL44" i="97" s="1"/>
  <c r="FP43" i="97"/>
  <c r="FP42" i="97"/>
  <c r="FP41" i="97"/>
  <c r="FP40" i="97"/>
  <c r="FP39" i="97"/>
  <c r="FP38" i="97"/>
  <c r="GL38" i="97" s="1"/>
  <c r="FP37" i="97"/>
  <c r="FP36" i="97"/>
  <c r="FP35" i="97"/>
  <c r="FP34" i="97"/>
  <c r="FP33" i="97"/>
  <c r="FP32" i="97"/>
  <c r="FP31" i="97"/>
  <c r="FP30" i="97"/>
  <c r="FP29" i="97"/>
  <c r="FP28" i="97"/>
  <c r="FP27" i="97"/>
  <c r="FP26" i="97"/>
  <c r="FP25" i="97"/>
  <c r="FP24" i="97"/>
  <c r="FP23" i="97"/>
  <c r="FP22" i="97"/>
  <c r="FP21" i="97"/>
  <c r="FP20" i="97"/>
  <c r="FP19" i="97"/>
  <c r="FP18" i="97"/>
  <c r="FP17" i="97"/>
  <c r="FP16" i="97"/>
  <c r="FP15" i="97"/>
  <c r="FP14" i="97"/>
  <c r="GL14" i="97" s="1"/>
  <c r="FP13" i="97"/>
  <c r="FP12" i="97"/>
  <c r="FP11" i="97"/>
  <c r="FP10" i="97"/>
  <c r="GL10" i="97" s="1"/>
  <c r="FP9" i="97"/>
  <c r="FP8" i="97"/>
  <c r="FP7" i="97"/>
  <c r="FK65" i="97"/>
  <c r="FJ65" i="97"/>
  <c r="FL64" i="97"/>
  <c r="FL63" i="97"/>
  <c r="GD63" i="97" s="1"/>
  <c r="FL62" i="97"/>
  <c r="FL61" i="97"/>
  <c r="FL60" i="97"/>
  <c r="FL59" i="97"/>
  <c r="GD59" i="97" s="1"/>
  <c r="FL58" i="97"/>
  <c r="FL57" i="97"/>
  <c r="FL56" i="97"/>
  <c r="FL55" i="97"/>
  <c r="FL54" i="97"/>
  <c r="FL53" i="97"/>
  <c r="FL52" i="97"/>
  <c r="FL51" i="97"/>
  <c r="FL50" i="97"/>
  <c r="FL49" i="97"/>
  <c r="FL48" i="97"/>
  <c r="FL47" i="97"/>
  <c r="GD47" i="97" s="1"/>
  <c r="FL46" i="97"/>
  <c r="FL45" i="97"/>
  <c r="FL44" i="97"/>
  <c r="FL43" i="97"/>
  <c r="FL42" i="97"/>
  <c r="FL41" i="97"/>
  <c r="FL40" i="97"/>
  <c r="GD40" i="97" s="1"/>
  <c r="FL39" i="97"/>
  <c r="FL38" i="97"/>
  <c r="GD38" i="97" s="1"/>
  <c r="FL37" i="97"/>
  <c r="FL36" i="97"/>
  <c r="FL35" i="97"/>
  <c r="GD35" i="97" s="1"/>
  <c r="FL34" i="97"/>
  <c r="FL33" i="97"/>
  <c r="FL32" i="97"/>
  <c r="FL31" i="97"/>
  <c r="GD31" i="97" s="1"/>
  <c r="FL30" i="97"/>
  <c r="FL29" i="97"/>
  <c r="FL28" i="97"/>
  <c r="GD28" i="97" s="1"/>
  <c r="FL27" i="97"/>
  <c r="FL26" i="97"/>
  <c r="GD26" i="97" s="1"/>
  <c r="FL25" i="97"/>
  <c r="FL24" i="97"/>
  <c r="FL23" i="97"/>
  <c r="FL22" i="97"/>
  <c r="FL21" i="97"/>
  <c r="FL20" i="97"/>
  <c r="FL19" i="97"/>
  <c r="GD19" i="97" s="1"/>
  <c r="FL18" i="97"/>
  <c r="FL17" i="97"/>
  <c r="FL16" i="97"/>
  <c r="GD16" i="97" s="1"/>
  <c r="FL15" i="97"/>
  <c r="GD15" i="97" s="1"/>
  <c r="FL14" i="97"/>
  <c r="FL13" i="97"/>
  <c r="FL12" i="97"/>
  <c r="FL11" i="97"/>
  <c r="FL10" i="97"/>
  <c r="FL9" i="97"/>
  <c r="FL8" i="97"/>
  <c r="FL7" i="97"/>
  <c r="FG65" i="97"/>
  <c r="FF65" i="97"/>
  <c r="FH64" i="97"/>
  <c r="FH63" i="97"/>
  <c r="FH62" i="97"/>
  <c r="FH61" i="97"/>
  <c r="FH60" i="97"/>
  <c r="FH59" i="97"/>
  <c r="FH58" i="97"/>
  <c r="FH57" i="97"/>
  <c r="FH56" i="97"/>
  <c r="FH55" i="97"/>
  <c r="FH54" i="97"/>
  <c r="FH53" i="97"/>
  <c r="FH52" i="97"/>
  <c r="FH51" i="97"/>
  <c r="FH50" i="97"/>
  <c r="FH49" i="97"/>
  <c r="GK49" i="97" s="1"/>
  <c r="FH48" i="97"/>
  <c r="FH47" i="97"/>
  <c r="FH46" i="97"/>
  <c r="FH45" i="97"/>
  <c r="FH44" i="97"/>
  <c r="FH43" i="97"/>
  <c r="FH42" i="97"/>
  <c r="FH41" i="97"/>
  <c r="FH40" i="97"/>
  <c r="FH39" i="97"/>
  <c r="FH38" i="97"/>
  <c r="FH37" i="97"/>
  <c r="FH36" i="97"/>
  <c r="FH35" i="97"/>
  <c r="FH34" i="97"/>
  <c r="FH33" i="97"/>
  <c r="FH32" i="97"/>
  <c r="FH31" i="97"/>
  <c r="FH30" i="97"/>
  <c r="GK30" i="97" s="1"/>
  <c r="FH29" i="97"/>
  <c r="FH28" i="97"/>
  <c r="FH27" i="97"/>
  <c r="FH26" i="97"/>
  <c r="FH25" i="97"/>
  <c r="FH24" i="97"/>
  <c r="FH23" i="97"/>
  <c r="FH22" i="97"/>
  <c r="GK22" i="97" s="1"/>
  <c r="FH21" i="97"/>
  <c r="FH20" i="97"/>
  <c r="FH19" i="97"/>
  <c r="FH18" i="97"/>
  <c r="FH17" i="97"/>
  <c r="FH16" i="97"/>
  <c r="FH15" i="97"/>
  <c r="FH14" i="97"/>
  <c r="FH13" i="97"/>
  <c r="FH12" i="97"/>
  <c r="FH11" i="97"/>
  <c r="FH10" i="97"/>
  <c r="FH9" i="97"/>
  <c r="FH8" i="97"/>
  <c r="FH7" i="97"/>
  <c r="FC65" i="97"/>
  <c r="FB65" i="97"/>
  <c r="FD64" i="97"/>
  <c r="GC64" i="97" s="1"/>
  <c r="FD63" i="97"/>
  <c r="FD62" i="97"/>
  <c r="FD61" i="97"/>
  <c r="FD60" i="97"/>
  <c r="FD59" i="97"/>
  <c r="FD58" i="97"/>
  <c r="FD57" i="97"/>
  <c r="FD56" i="97"/>
  <c r="GC56" i="97" s="1"/>
  <c r="FD55" i="97"/>
  <c r="FD54" i="97"/>
  <c r="FD53" i="97"/>
  <c r="FD52" i="97"/>
  <c r="GC52" i="97" s="1"/>
  <c r="FD51" i="97"/>
  <c r="FD50" i="97"/>
  <c r="GC50" i="97" s="1"/>
  <c r="FD49" i="97"/>
  <c r="FD48" i="97"/>
  <c r="FD47" i="97"/>
  <c r="FD46" i="97"/>
  <c r="FD45" i="97"/>
  <c r="FD44" i="97"/>
  <c r="FD43" i="97"/>
  <c r="FD42" i="97"/>
  <c r="FD41" i="97"/>
  <c r="FD40" i="97"/>
  <c r="FD39" i="97"/>
  <c r="FD38" i="97"/>
  <c r="GC38" i="97" s="1"/>
  <c r="FD37" i="97"/>
  <c r="FD36" i="97"/>
  <c r="FD35" i="97"/>
  <c r="FD34" i="97"/>
  <c r="FD33" i="97"/>
  <c r="FD32" i="97"/>
  <c r="GC32" i="97" s="1"/>
  <c r="FD31" i="97"/>
  <c r="FD30" i="97"/>
  <c r="FD29" i="97"/>
  <c r="FD28" i="97"/>
  <c r="FD27" i="97"/>
  <c r="FD26" i="97"/>
  <c r="FD25" i="97"/>
  <c r="FD24" i="97"/>
  <c r="GC24" i="97" s="1"/>
  <c r="FD23" i="97"/>
  <c r="FD22" i="97"/>
  <c r="FD21" i="97"/>
  <c r="FD20" i="97"/>
  <c r="FD19" i="97"/>
  <c r="FD18" i="97"/>
  <c r="GC18" i="97" s="1"/>
  <c r="FD17" i="97"/>
  <c r="FD16" i="97"/>
  <c r="FD15" i="97"/>
  <c r="FD14" i="97"/>
  <c r="FD13" i="97"/>
  <c r="FD12" i="97"/>
  <c r="FD11" i="97"/>
  <c r="FD10" i="97"/>
  <c r="FD9" i="97"/>
  <c r="FD8" i="97"/>
  <c r="FD7" i="97"/>
  <c r="EY65" i="97"/>
  <c r="EX65" i="97"/>
  <c r="EZ64" i="97"/>
  <c r="EZ63" i="97"/>
  <c r="EZ62" i="97"/>
  <c r="EZ61" i="97"/>
  <c r="EZ60" i="97"/>
  <c r="EZ59" i="97"/>
  <c r="EZ58" i="97"/>
  <c r="EZ57" i="97"/>
  <c r="EZ56" i="97"/>
  <c r="EZ55" i="97"/>
  <c r="EZ54" i="97"/>
  <c r="EZ53" i="97"/>
  <c r="EZ52" i="97"/>
  <c r="EZ51" i="97"/>
  <c r="EZ50" i="97"/>
  <c r="EZ49" i="97"/>
  <c r="EZ48" i="97"/>
  <c r="EZ47" i="97"/>
  <c r="EZ46" i="97"/>
  <c r="EZ45" i="97"/>
  <c r="EZ44" i="97"/>
  <c r="EZ43" i="97"/>
  <c r="EZ42" i="97"/>
  <c r="EZ41" i="97"/>
  <c r="EZ40" i="97"/>
  <c r="EZ39" i="97"/>
  <c r="EZ38" i="97"/>
  <c r="EZ37" i="97"/>
  <c r="EZ36" i="97"/>
  <c r="EZ35" i="97"/>
  <c r="EZ34" i="97"/>
  <c r="EZ33" i="97"/>
  <c r="EZ32" i="97"/>
  <c r="EZ31" i="97"/>
  <c r="EZ30" i="97"/>
  <c r="EZ29" i="97"/>
  <c r="EZ28" i="97"/>
  <c r="EZ27" i="97"/>
  <c r="EZ26" i="97"/>
  <c r="GS26" i="97" s="1"/>
  <c r="GU26" i="97" s="1"/>
  <c r="EZ25" i="97"/>
  <c r="EZ24" i="97"/>
  <c r="EZ23" i="97"/>
  <c r="EZ22" i="97"/>
  <c r="EZ21" i="97"/>
  <c r="EZ20" i="97"/>
  <c r="GS20" i="97" s="1"/>
  <c r="GU20" i="97" s="1"/>
  <c r="EZ19" i="97"/>
  <c r="EZ18" i="97"/>
  <c r="EZ17" i="97"/>
  <c r="EZ16" i="97"/>
  <c r="EZ15" i="97"/>
  <c r="EZ14" i="97"/>
  <c r="EZ13" i="97"/>
  <c r="EZ12" i="97"/>
  <c r="EZ11" i="97"/>
  <c r="EZ10" i="97"/>
  <c r="EZ9" i="97"/>
  <c r="EZ8" i="97"/>
  <c r="EZ7" i="97"/>
  <c r="EU65" i="97"/>
  <c r="ET65" i="97"/>
  <c r="EV64" i="97"/>
  <c r="EV63" i="97"/>
  <c r="GJ63" i="97" s="1"/>
  <c r="EV62" i="97"/>
  <c r="EV61" i="97"/>
  <c r="EV60" i="97"/>
  <c r="EV59" i="97"/>
  <c r="GJ59" i="97" s="1"/>
  <c r="EV58" i="97"/>
  <c r="EV57" i="97"/>
  <c r="EV56" i="97"/>
  <c r="GJ56" i="97" s="1"/>
  <c r="EV55" i="97"/>
  <c r="EV54" i="97"/>
  <c r="EV53" i="97"/>
  <c r="EV52" i="97"/>
  <c r="EV51" i="97"/>
  <c r="GJ51" i="97" s="1"/>
  <c r="EV50" i="97"/>
  <c r="EV49" i="97"/>
  <c r="EV48" i="97"/>
  <c r="EV47" i="97"/>
  <c r="EV46" i="97"/>
  <c r="EV45" i="97"/>
  <c r="EV44" i="97"/>
  <c r="GJ44" i="97" s="1"/>
  <c r="EV43" i="97"/>
  <c r="EV42" i="97"/>
  <c r="EV41" i="97"/>
  <c r="EV40" i="97"/>
  <c r="GJ40" i="97" s="1"/>
  <c r="EV39" i="97"/>
  <c r="EV38" i="97"/>
  <c r="EV37" i="97"/>
  <c r="EV36" i="97"/>
  <c r="EV35" i="97"/>
  <c r="EV34" i="97"/>
  <c r="EV33" i="97"/>
  <c r="EV32" i="97"/>
  <c r="EV31" i="97"/>
  <c r="GJ31" i="97" s="1"/>
  <c r="EV30" i="97"/>
  <c r="EV29" i="97"/>
  <c r="EV28" i="97"/>
  <c r="EV27" i="97"/>
  <c r="GJ27" i="97" s="1"/>
  <c r="EV26" i="97"/>
  <c r="GJ26" i="97" s="1"/>
  <c r="EV25" i="97"/>
  <c r="EV24" i="97"/>
  <c r="EV23" i="97"/>
  <c r="EV22" i="97"/>
  <c r="GJ22" i="97" s="1"/>
  <c r="EV21" i="97"/>
  <c r="EV20" i="97"/>
  <c r="EV19" i="97"/>
  <c r="EV18" i="97"/>
  <c r="EV17" i="97"/>
  <c r="EV16" i="97"/>
  <c r="EV15" i="97"/>
  <c r="GJ15" i="97" s="1"/>
  <c r="EV14" i="97"/>
  <c r="EV13" i="97"/>
  <c r="EV12" i="97"/>
  <c r="EV11" i="97"/>
  <c r="EV10" i="97"/>
  <c r="EV9" i="97"/>
  <c r="EV8" i="97"/>
  <c r="EV7" i="97"/>
  <c r="EQ65" i="97"/>
  <c r="ER64" i="97"/>
  <c r="ER63" i="97"/>
  <c r="GB63" i="97" s="1"/>
  <c r="ER62" i="97"/>
  <c r="ER61" i="97"/>
  <c r="ER60" i="97"/>
  <c r="ER59" i="97"/>
  <c r="GB59" i="97" s="1"/>
  <c r="ER58" i="97"/>
  <c r="ER57" i="97"/>
  <c r="ER56" i="97"/>
  <c r="ER55" i="97"/>
  <c r="ER54" i="97"/>
  <c r="ER53" i="97"/>
  <c r="ER52" i="97"/>
  <c r="ER51" i="97"/>
  <c r="GB51" i="97" s="1"/>
  <c r="ER50" i="97"/>
  <c r="ER49" i="97"/>
  <c r="ER48" i="97"/>
  <c r="ER47" i="97"/>
  <c r="ER46" i="97"/>
  <c r="ER45" i="97"/>
  <c r="ER44" i="97"/>
  <c r="ER43" i="97"/>
  <c r="ER42" i="97"/>
  <c r="GB42" i="97" s="1"/>
  <c r="ER41" i="97"/>
  <c r="ER40" i="97"/>
  <c r="GB40" i="97" s="1"/>
  <c r="ER39" i="97"/>
  <c r="ER38" i="97"/>
  <c r="ER37" i="97"/>
  <c r="ER36" i="97"/>
  <c r="ER35" i="97"/>
  <c r="ER34" i="97"/>
  <c r="ER33" i="97"/>
  <c r="ER32" i="97"/>
  <c r="ER31" i="97"/>
  <c r="GB31" i="97" s="1"/>
  <c r="ER30" i="97"/>
  <c r="ER29" i="97"/>
  <c r="ER28" i="97"/>
  <c r="ER27" i="97"/>
  <c r="ER26" i="97"/>
  <c r="GB26" i="97" s="1"/>
  <c r="ER25" i="97"/>
  <c r="ER24" i="97"/>
  <c r="GB24" i="97" s="1"/>
  <c r="ER23" i="97"/>
  <c r="ER22" i="97"/>
  <c r="ER21" i="97"/>
  <c r="ER20" i="97"/>
  <c r="ER19" i="97"/>
  <c r="GB19" i="97" s="1"/>
  <c r="ER18" i="97"/>
  <c r="GB18" i="97" s="1"/>
  <c r="ER17" i="97"/>
  <c r="ER16" i="97"/>
  <c r="ER15" i="97"/>
  <c r="ER14" i="97"/>
  <c r="ER13" i="97"/>
  <c r="ER12" i="97"/>
  <c r="ER11" i="97"/>
  <c r="ER10" i="97"/>
  <c r="ER9" i="97"/>
  <c r="ER8" i="97"/>
  <c r="ER7" i="97"/>
  <c r="EW44" i="97" l="1"/>
  <c r="EW51" i="97"/>
  <c r="ES24" i="97"/>
  <c r="ES31" i="97"/>
  <c r="EW40" i="97"/>
  <c r="FM16" i="97"/>
  <c r="ES63" i="97"/>
  <c r="EW26" i="97"/>
  <c r="ES18" i="97"/>
  <c r="EW59" i="97"/>
  <c r="FI22" i="97"/>
  <c r="ES51" i="97"/>
  <c r="EW56" i="97"/>
  <c r="FU44" i="97"/>
  <c r="ES42" i="97"/>
  <c r="ES59" i="97"/>
  <c r="EW63" i="97"/>
  <c r="FA26" i="97"/>
  <c r="FM59" i="97"/>
  <c r="FU38" i="97"/>
  <c r="FU26" i="97"/>
  <c r="FU58" i="97"/>
  <c r="FU20" i="97"/>
  <c r="FM19" i="97"/>
  <c r="FM26" i="97"/>
  <c r="FM38" i="97"/>
  <c r="FI49" i="97"/>
  <c r="FQ10" i="97"/>
  <c r="FM31" i="97"/>
  <c r="FM35" i="97"/>
  <c r="FM63" i="97"/>
  <c r="FE64" i="97"/>
  <c r="EW54" i="97"/>
  <c r="GJ54" i="97"/>
  <c r="FA53" i="97"/>
  <c r="GS53" i="97"/>
  <c r="GU53" i="97" s="1"/>
  <c r="FI21" i="97"/>
  <c r="GK21" i="97"/>
  <c r="FI43" i="97"/>
  <c r="GK43" i="97"/>
  <c r="FI50" i="97"/>
  <c r="GK50" i="97"/>
  <c r="FM32" i="97"/>
  <c r="GD32" i="97"/>
  <c r="FM52" i="97"/>
  <c r="GD52" i="97"/>
  <c r="FQ13" i="97"/>
  <c r="GL13" i="97"/>
  <c r="FQ43" i="97"/>
  <c r="GL43" i="97"/>
  <c r="FU61" i="97"/>
  <c r="GM61" i="97"/>
  <c r="ES11" i="97"/>
  <c r="GB11" i="97"/>
  <c r="ES38" i="97"/>
  <c r="GB38" i="97"/>
  <c r="GE38" i="97" s="1"/>
  <c r="GF38" i="97" s="1"/>
  <c r="ES44" i="97"/>
  <c r="GB44" i="97"/>
  <c r="EW13" i="97"/>
  <c r="GJ13" i="97"/>
  <c r="EW20" i="97"/>
  <c r="GJ20" i="97"/>
  <c r="EW32" i="97"/>
  <c r="GJ32" i="97"/>
  <c r="EW46" i="97"/>
  <c r="GJ46" i="97"/>
  <c r="EW53" i="97"/>
  <c r="GJ53" i="97"/>
  <c r="FA14" i="97"/>
  <c r="GS14" i="97"/>
  <c r="GU14" i="97" s="1"/>
  <c r="FA21" i="97"/>
  <c r="GS21" i="97"/>
  <c r="GU21" i="97" s="1"/>
  <c r="FA28" i="97"/>
  <c r="GS28" i="97"/>
  <c r="GU28" i="97" s="1"/>
  <c r="FA36" i="97"/>
  <c r="GS36" i="97"/>
  <c r="GU36" i="97" s="1"/>
  <c r="FA44" i="97"/>
  <c r="GS44" i="97"/>
  <c r="GU44" i="97" s="1"/>
  <c r="FA52" i="97"/>
  <c r="GS52" i="97"/>
  <c r="GU52" i="97" s="1"/>
  <c r="FA60" i="97"/>
  <c r="GS60" i="97"/>
  <c r="GU60" i="97" s="1"/>
  <c r="FE8" i="97"/>
  <c r="GC8" i="97"/>
  <c r="FE16" i="97"/>
  <c r="GC16" i="97"/>
  <c r="FE23" i="97"/>
  <c r="GC23" i="97"/>
  <c r="FE30" i="97"/>
  <c r="GC30" i="97"/>
  <c r="FE37" i="97"/>
  <c r="GC37" i="97"/>
  <c r="FE44" i="97"/>
  <c r="GC44" i="97"/>
  <c r="FE51" i="97"/>
  <c r="GC51" i="97"/>
  <c r="FE57" i="97"/>
  <c r="GC57" i="97"/>
  <c r="FI12" i="97"/>
  <c r="GK12" i="97"/>
  <c r="FI20" i="97"/>
  <c r="GK20" i="97"/>
  <c r="FI27" i="97"/>
  <c r="GK27" i="97"/>
  <c r="FI34" i="97"/>
  <c r="GK34" i="97"/>
  <c r="FI42" i="97"/>
  <c r="GK42" i="97"/>
  <c r="FI57" i="97"/>
  <c r="GK57" i="97"/>
  <c r="FM13" i="97"/>
  <c r="GD13" i="97"/>
  <c r="FM44" i="97"/>
  <c r="GD44" i="97"/>
  <c r="FM51" i="97"/>
  <c r="GD51" i="97"/>
  <c r="FQ12" i="97"/>
  <c r="GL12" i="97"/>
  <c r="FQ19" i="97"/>
  <c r="GL19" i="97"/>
  <c r="FQ27" i="97"/>
  <c r="GL27" i="97"/>
  <c r="FQ35" i="97"/>
  <c r="GL35" i="97"/>
  <c r="FQ42" i="97"/>
  <c r="GL42" i="97"/>
  <c r="FQ49" i="97"/>
  <c r="GL49" i="97"/>
  <c r="FQ57" i="97"/>
  <c r="GL57" i="97"/>
  <c r="FQ64" i="97"/>
  <c r="GL64" i="97"/>
  <c r="FU12" i="97"/>
  <c r="GM12" i="97"/>
  <c r="FU34" i="97"/>
  <c r="GM34" i="97"/>
  <c r="FU40" i="97"/>
  <c r="GM40" i="97"/>
  <c r="FU46" i="97"/>
  <c r="GM46" i="97"/>
  <c r="FU53" i="97"/>
  <c r="GM53" i="97"/>
  <c r="FU60" i="97"/>
  <c r="GM60" i="97"/>
  <c r="ES10" i="97"/>
  <c r="GB10" i="97"/>
  <c r="ES30" i="97"/>
  <c r="GB30" i="97"/>
  <c r="ES37" i="97"/>
  <c r="GB37" i="97"/>
  <c r="ES43" i="97"/>
  <c r="GB43" i="97"/>
  <c r="ES58" i="97"/>
  <c r="GB58" i="97"/>
  <c r="ES64" i="97"/>
  <c r="GB64" i="97"/>
  <c r="EW12" i="97"/>
  <c r="GJ12" i="97"/>
  <c r="EW19" i="97"/>
  <c r="GJ19" i="97"/>
  <c r="EW39" i="97"/>
  <c r="GJ39" i="97"/>
  <c r="EW45" i="97"/>
  <c r="GJ45" i="97"/>
  <c r="EW52" i="97"/>
  <c r="GJ52" i="97"/>
  <c r="FA13" i="97"/>
  <c r="GS13" i="97"/>
  <c r="GU13" i="97" s="1"/>
  <c r="FA27" i="97"/>
  <c r="GS27" i="97"/>
  <c r="GU27" i="97" s="1"/>
  <c r="FA35" i="97"/>
  <c r="GS35" i="97"/>
  <c r="GU35" i="97" s="1"/>
  <c r="FA43" i="97"/>
  <c r="GS43" i="97"/>
  <c r="GU43" i="97" s="1"/>
  <c r="FA51" i="97"/>
  <c r="GS51" i="97"/>
  <c r="GU51" i="97" s="1"/>
  <c r="FA59" i="97"/>
  <c r="GS59" i="97"/>
  <c r="GU59" i="97" s="1"/>
  <c r="FE7" i="97"/>
  <c r="GC7" i="97"/>
  <c r="FE15" i="97"/>
  <c r="GC15" i="97"/>
  <c r="FE22" i="97"/>
  <c r="GC22" i="97"/>
  <c r="FE29" i="97"/>
  <c r="GC29" i="97"/>
  <c r="FE36" i="97"/>
  <c r="GC36" i="97"/>
  <c r="FE43" i="97"/>
  <c r="GC43" i="97"/>
  <c r="FI11" i="97"/>
  <c r="GK11" i="97"/>
  <c r="FI19" i="97"/>
  <c r="GK19" i="97"/>
  <c r="FI26" i="97"/>
  <c r="GK26" i="97"/>
  <c r="FI33" i="97"/>
  <c r="GK33" i="97"/>
  <c r="FI41" i="97"/>
  <c r="GK41" i="97"/>
  <c r="FI56" i="97"/>
  <c r="GK56" i="97"/>
  <c r="FI64" i="97"/>
  <c r="GK64" i="97"/>
  <c r="FM12" i="97"/>
  <c r="GD12" i="97"/>
  <c r="FM18" i="97"/>
  <c r="GD18" i="97"/>
  <c r="GE18" i="97" s="1"/>
  <c r="GF18" i="97" s="1"/>
  <c r="FM25" i="97"/>
  <c r="GD25" i="97"/>
  <c r="FM37" i="97"/>
  <c r="GD37" i="97"/>
  <c r="FM43" i="97"/>
  <c r="GD43" i="97"/>
  <c r="FM50" i="97"/>
  <c r="GD50" i="97"/>
  <c r="FM58" i="97"/>
  <c r="GD58" i="97"/>
  <c r="FM64" i="97"/>
  <c r="GD64" i="97"/>
  <c r="FQ11" i="97"/>
  <c r="GL11" i="97"/>
  <c r="FQ18" i="97"/>
  <c r="GL18" i="97"/>
  <c r="FQ26" i="97"/>
  <c r="GL26" i="97"/>
  <c r="FQ34" i="97"/>
  <c r="GL34" i="97"/>
  <c r="FQ41" i="97"/>
  <c r="GL41" i="97"/>
  <c r="FQ48" i="97"/>
  <c r="GL48" i="97"/>
  <c r="FQ56" i="97"/>
  <c r="GL56" i="97"/>
  <c r="FQ63" i="97"/>
  <c r="GL63" i="97"/>
  <c r="FU11" i="97"/>
  <c r="GM11" i="97"/>
  <c r="FU19" i="97"/>
  <c r="GM19" i="97"/>
  <c r="FU33" i="97"/>
  <c r="GM33" i="97"/>
  <c r="FU39" i="97"/>
  <c r="GM39" i="97"/>
  <c r="FU45" i="97"/>
  <c r="GM45" i="97"/>
  <c r="FU59" i="97"/>
  <c r="GM59" i="97"/>
  <c r="EW31" i="97"/>
  <c r="FA20" i="97"/>
  <c r="FE50" i="97"/>
  <c r="FE56" i="97"/>
  <c r="FU52" i="97"/>
  <c r="ES12" i="97"/>
  <c r="GB12" i="97"/>
  <c r="ES45" i="97"/>
  <c r="GB45" i="97"/>
  <c r="EW14" i="97"/>
  <c r="GJ14" i="97"/>
  <c r="FA7" i="97"/>
  <c r="GS7" i="97"/>
  <c r="GU7" i="97" s="1"/>
  <c r="FA37" i="97"/>
  <c r="GS37" i="97"/>
  <c r="GU37" i="97" s="1"/>
  <c r="FE9" i="97"/>
  <c r="GC9" i="97"/>
  <c r="FE58" i="97"/>
  <c r="GC58" i="97"/>
  <c r="FI28" i="97"/>
  <c r="GK28" i="97"/>
  <c r="FI58" i="97"/>
  <c r="GK58" i="97"/>
  <c r="FM45" i="97"/>
  <c r="GD45" i="97"/>
  <c r="FU35" i="97"/>
  <c r="GM35" i="97"/>
  <c r="FU54" i="97"/>
  <c r="GM54" i="97"/>
  <c r="ES23" i="97"/>
  <c r="GB23" i="97"/>
  <c r="EW25" i="97"/>
  <c r="GJ25" i="97"/>
  <c r="GW20" i="97"/>
  <c r="GV20" i="97"/>
  <c r="FA34" i="97"/>
  <c r="GS34" i="97"/>
  <c r="GU34" i="97" s="1"/>
  <c r="FA50" i="97"/>
  <c r="GS50" i="97"/>
  <c r="GU50" i="97" s="1"/>
  <c r="FE14" i="97"/>
  <c r="GC14" i="97"/>
  <c r="FE28" i="97"/>
  <c r="GC28" i="97"/>
  <c r="FE42" i="97"/>
  <c r="GC42" i="97"/>
  <c r="FE63" i="97"/>
  <c r="GC63" i="97"/>
  <c r="GE63" i="97" s="1"/>
  <c r="FI25" i="97"/>
  <c r="GK25" i="97"/>
  <c r="FI40" i="97"/>
  <c r="GK40" i="97"/>
  <c r="FI63" i="97"/>
  <c r="GK63" i="97"/>
  <c r="FM24" i="97"/>
  <c r="GD24" i="97"/>
  <c r="GE24" i="97" s="1"/>
  <c r="GF24" i="97" s="1"/>
  <c r="FM42" i="97"/>
  <c r="GD42" i="97"/>
  <c r="FM57" i="97"/>
  <c r="GD57" i="97"/>
  <c r="FQ17" i="97"/>
  <c r="GL17" i="97"/>
  <c r="FQ40" i="97"/>
  <c r="GL40" i="97"/>
  <c r="FQ55" i="97"/>
  <c r="GL55" i="97"/>
  <c r="FU10" i="97"/>
  <c r="GM10" i="97"/>
  <c r="FU32" i="97"/>
  <c r="GM32" i="97"/>
  <c r="ES16" i="97"/>
  <c r="GB16" i="97"/>
  <c r="ES28" i="97"/>
  <c r="GB28" i="97"/>
  <c r="ES49" i="97"/>
  <c r="GB49" i="97"/>
  <c r="EW24" i="97"/>
  <c r="GJ24" i="97"/>
  <c r="GW26" i="97"/>
  <c r="GV26" i="97"/>
  <c r="FA41" i="97"/>
  <c r="GS41" i="97"/>
  <c r="GU41" i="97" s="1"/>
  <c r="FA49" i="97"/>
  <c r="GS49" i="97"/>
  <c r="GU49" i="97" s="1"/>
  <c r="FE13" i="97"/>
  <c r="GC13" i="97"/>
  <c r="FE27" i="97"/>
  <c r="GC27" i="97"/>
  <c r="FE41" i="97"/>
  <c r="GC41" i="97"/>
  <c r="FE62" i="97"/>
  <c r="GC62" i="97"/>
  <c r="FI24" i="97"/>
  <c r="GK24" i="97"/>
  <c r="FI47" i="97"/>
  <c r="GK47" i="97"/>
  <c r="FM10" i="97"/>
  <c r="GD10" i="97"/>
  <c r="FM29" i="97"/>
  <c r="GD29" i="97"/>
  <c r="FM56" i="97"/>
  <c r="GD56" i="97"/>
  <c r="FQ16" i="97"/>
  <c r="GL16" i="97"/>
  <c r="FQ54" i="97"/>
  <c r="GL54" i="97"/>
  <c r="ES7" i="97"/>
  <c r="GB7" i="97"/>
  <c r="ES15" i="97"/>
  <c r="GB15" i="97"/>
  <c r="ES21" i="97"/>
  <c r="GB21" i="97"/>
  <c r="ES27" i="97"/>
  <c r="GB27" i="97"/>
  <c r="ES34" i="97"/>
  <c r="GB34" i="97"/>
  <c r="ES41" i="97"/>
  <c r="GB41" i="97"/>
  <c r="ES48" i="97"/>
  <c r="GB48" i="97"/>
  <c r="ES55" i="97"/>
  <c r="GB55" i="97"/>
  <c r="ES62" i="97"/>
  <c r="GB62" i="97"/>
  <c r="EW9" i="97"/>
  <c r="GJ9" i="97"/>
  <c r="EW16" i="97"/>
  <c r="GJ16" i="97"/>
  <c r="EW23" i="97"/>
  <c r="GJ23" i="97"/>
  <c r="EW29" i="97"/>
  <c r="GJ29" i="97"/>
  <c r="EW36" i="97"/>
  <c r="GJ36" i="97"/>
  <c r="EW43" i="97"/>
  <c r="GJ43" i="97"/>
  <c r="EW50" i="97"/>
  <c r="GJ50" i="97"/>
  <c r="FA10" i="97"/>
  <c r="GS10" i="97"/>
  <c r="GU10" i="97" s="1"/>
  <c r="FA18" i="97"/>
  <c r="GS18" i="97"/>
  <c r="GU18" i="97" s="1"/>
  <c r="FA25" i="97"/>
  <c r="GS25" i="97"/>
  <c r="GU25" i="97" s="1"/>
  <c r="FA32" i="97"/>
  <c r="GS32" i="97"/>
  <c r="GU32" i="97" s="1"/>
  <c r="FA40" i="97"/>
  <c r="GS40" i="97"/>
  <c r="GU40" i="97" s="1"/>
  <c r="FA48" i="97"/>
  <c r="GS48" i="97"/>
  <c r="GU48" i="97" s="1"/>
  <c r="FA56" i="97"/>
  <c r="GS56" i="97"/>
  <c r="GU56" i="97" s="1"/>
  <c r="FA64" i="97"/>
  <c r="GS64" i="97"/>
  <c r="GU64" i="97" s="1"/>
  <c r="FE12" i="97"/>
  <c r="GC12" i="97"/>
  <c r="FE19" i="97"/>
  <c r="GC19" i="97"/>
  <c r="GE19" i="97" s="1"/>
  <c r="FE26" i="97"/>
  <c r="GC26" i="97"/>
  <c r="GE26" i="97" s="1"/>
  <c r="FE33" i="97"/>
  <c r="GC33" i="97"/>
  <c r="FE40" i="97"/>
  <c r="GC40" i="97"/>
  <c r="GE40" i="97" s="1"/>
  <c r="FE48" i="97"/>
  <c r="GC48" i="97"/>
  <c r="FE54" i="97"/>
  <c r="GC54" i="97"/>
  <c r="FE61" i="97"/>
  <c r="GC61" i="97"/>
  <c r="FI8" i="97"/>
  <c r="GK8" i="97"/>
  <c r="FI16" i="97"/>
  <c r="GK16" i="97"/>
  <c r="FI23" i="97"/>
  <c r="GK23" i="97"/>
  <c r="FI38" i="97"/>
  <c r="GK38" i="97"/>
  <c r="FI46" i="97"/>
  <c r="GK46" i="97"/>
  <c r="FI53" i="97"/>
  <c r="GK53" i="97"/>
  <c r="FI61" i="97"/>
  <c r="GK61" i="97"/>
  <c r="FM9" i="97"/>
  <c r="GD9" i="97"/>
  <c r="FM22" i="97"/>
  <c r="GD22" i="97"/>
  <c r="FM55" i="97"/>
  <c r="GD55" i="97"/>
  <c r="FM62" i="97"/>
  <c r="GD62" i="97"/>
  <c r="FQ9" i="97"/>
  <c r="GL9" i="97"/>
  <c r="FQ15" i="97"/>
  <c r="GL15" i="97"/>
  <c r="FQ23" i="97"/>
  <c r="GL23" i="97"/>
  <c r="FQ31" i="97"/>
  <c r="GL31" i="97"/>
  <c r="FQ45" i="97"/>
  <c r="GL45" i="97"/>
  <c r="FQ53" i="97"/>
  <c r="GL53" i="97"/>
  <c r="FQ60" i="97"/>
  <c r="GL60" i="97"/>
  <c r="FU8" i="97"/>
  <c r="GM8" i="97"/>
  <c r="FU16" i="97"/>
  <c r="GM16" i="97"/>
  <c r="FU23" i="97"/>
  <c r="GM23" i="97"/>
  <c r="FU30" i="97"/>
  <c r="GM30" i="97"/>
  <c r="FU37" i="97"/>
  <c r="GM37" i="97"/>
  <c r="FU43" i="97"/>
  <c r="GM43" i="97"/>
  <c r="FU50" i="97"/>
  <c r="GM50" i="97"/>
  <c r="FU57" i="97"/>
  <c r="GM57" i="97"/>
  <c r="FU64" i="97"/>
  <c r="GM64" i="97"/>
  <c r="FI30" i="97"/>
  <c r="FM28" i="97"/>
  <c r="FM40" i="97"/>
  <c r="FM47" i="97"/>
  <c r="FQ38" i="97"/>
  <c r="ES25" i="97"/>
  <c r="GB25" i="97"/>
  <c r="ES52" i="97"/>
  <c r="GB52" i="97"/>
  <c r="EW47" i="97"/>
  <c r="GJ47" i="97"/>
  <c r="FA15" i="97"/>
  <c r="GS15" i="97"/>
  <c r="GU15" i="97" s="1"/>
  <c r="FA45" i="97"/>
  <c r="GS45" i="97"/>
  <c r="GU45" i="97" s="1"/>
  <c r="FE45" i="97"/>
  <c r="GC45" i="97"/>
  <c r="FI13" i="97"/>
  <c r="GK13" i="97"/>
  <c r="FQ20" i="97"/>
  <c r="GL20" i="97"/>
  <c r="FQ36" i="97"/>
  <c r="GL36" i="97"/>
  <c r="FQ50" i="97"/>
  <c r="GL50" i="97"/>
  <c r="FU13" i="97"/>
  <c r="GM13" i="97"/>
  <c r="FU41" i="97"/>
  <c r="GM41" i="97"/>
  <c r="ES17" i="97"/>
  <c r="GB17" i="97"/>
  <c r="ES36" i="97"/>
  <c r="GB36" i="97"/>
  <c r="ES57" i="97"/>
  <c r="GB57" i="97"/>
  <c r="EW18" i="97"/>
  <c r="GJ18" i="97"/>
  <c r="EW38" i="97"/>
  <c r="GJ38" i="97"/>
  <c r="FA12" i="97"/>
  <c r="GS12" i="97"/>
  <c r="GU12" i="97" s="1"/>
  <c r="FE35" i="97"/>
  <c r="GC35" i="97"/>
  <c r="FI10" i="97"/>
  <c r="GK10" i="97"/>
  <c r="FI32" i="97"/>
  <c r="GK32" i="97"/>
  <c r="FI55" i="97"/>
  <c r="GK55" i="97"/>
  <c r="FM11" i="97"/>
  <c r="GD11" i="97"/>
  <c r="FM30" i="97"/>
  <c r="GD30" i="97"/>
  <c r="FM49" i="97"/>
  <c r="GD49" i="97"/>
  <c r="FQ25" i="97"/>
  <c r="GL25" i="97"/>
  <c r="FQ47" i="97"/>
  <c r="GL47" i="97"/>
  <c r="FQ62" i="97"/>
  <c r="GL62" i="97"/>
  <c r="FU25" i="97"/>
  <c r="GM25" i="97"/>
  <c r="ES8" i="97"/>
  <c r="GB8" i="97"/>
  <c r="ES35" i="97"/>
  <c r="GB35" i="97"/>
  <c r="EW17" i="97"/>
  <c r="GJ17" i="97"/>
  <c r="EW30" i="97"/>
  <c r="GJ30" i="97"/>
  <c r="EW57" i="97"/>
  <c r="GJ57" i="97"/>
  <c r="FA19" i="97"/>
  <c r="GS19" i="97"/>
  <c r="GU19" i="97" s="1"/>
  <c r="FA33" i="97"/>
  <c r="GS33" i="97"/>
  <c r="GU33" i="97" s="1"/>
  <c r="FA57" i="97"/>
  <c r="GS57" i="97"/>
  <c r="GU57" i="97" s="1"/>
  <c r="FE20" i="97"/>
  <c r="GC20" i="97"/>
  <c r="FE49" i="97"/>
  <c r="GC49" i="97"/>
  <c r="FI9" i="97"/>
  <c r="GK9" i="97"/>
  <c r="FI31" i="97"/>
  <c r="GK31" i="97"/>
  <c r="FI39" i="97"/>
  <c r="GK39" i="97"/>
  <c r="FI62" i="97"/>
  <c r="GK62" i="97"/>
  <c r="FM23" i="97"/>
  <c r="GD23" i="97"/>
  <c r="FM41" i="97"/>
  <c r="GD41" i="97"/>
  <c r="FQ32" i="97"/>
  <c r="GL32" i="97"/>
  <c r="FQ46" i="97"/>
  <c r="GL46" i="97"/>
  <c r="FU17" i="97"/>
  <c r="GM17" i="97"/>
  <c r="ES14" i="97"/>
  <c r="GB14" i="97"/>
  <c r="ES20" i="97"/>
  <c r="GB20" i="97"/>
  <c r="ES33" i="97"/>
  <c r="GB33" i="97"/>
  <c r="ES47" i="97"/>
  <c r="GB47" i="97"/>
  <c r="ES54" i="97"/>
  <c r="GB54" i="97"/>
  <c r="ES61" i="97"/>
  <c r="GB61" i="97"/>
  <c r="EW8" i="97"/>
  <c r="GJ8" i="97"/>
  <c r="EW28" i="97"/>
  <c r="GJ28" i="97"/>
  <c r="EW35" i="97"/>
  <c r="GJ35" i="97"/>
  <c r="EW42" i="97"/>
  <c r="GJ42" i="97"/>
  <c r="EW49" i="97"/>
  <c r="GJ49" i="97"/>
  <c r="EW62" i="97"/>
  <c r="GJ62" i="97"/>
  <c r="FA9" i="97"/>
  <c r="GS9" i="97"/>
  <c r="GU9" i="97" s="1"/>
  <c r="FA17" i="97"/>
  <c r="GS17" i="97"/>
  <c r="GU17" i="97" s="1"/>
  <c r="FA24" i="97"/>
  <c r="GS24" i="97"/>
  <c r="GU24" i="97" s="1"/>
  <c r="FA31" i="97"/>
  <c r="GS31" i="97"/>
  <c r="GU31" i="97" s="1"/>
  <c r="FA39" i="97"/>
  <c r="GS39" i="97"/>
  <c r="GU39" i="97" s="1"/>
  <c r="FA47" i="97"/>
  <c r="GS47" i="97"/>
  <c r="GU47" i="97" s="1"/>
  <c r="FA55" i="97"/>
  <c r="GS55" i="97"/>
  <c r="GU55" i="97" s="1"/>
  <c r="FA63" i="97"/>
  <c r="GS63" i="97"/>
  <c r="GU63" i="97" s="1"/>
  <c r="FE11" i="97"/>
  <c r="GC11" i="97"/>
  <c r="FE25" i="97"/>
  <c r="GC25" i="97"/>
  <c r="FE39" i="97"/>
  <c r="GC39" i="97"/>
  <c r="FE47" i="97"/>
  <c r="GC47" i="97"/>
  <c r="FE53" i="97"/>
  <c r="GC53" i="97"/>
  <c r="FE60" i="97"/>
  <c r="GC60" i="97"/>
  <c r="FI7" i="97"/>
  <c r="GK7" i="97"/>
  <c r="FI15" i="97"/>
  <c r="GK15" i="97"/>
  <c r="FI37" i="97"/>
  <c r="GK37" i="97"/>
  <c r="FI45" i="97"/>
  <c r="GK45" i="97"/>
  <c r="FI52" i="97"/>
  <c r="GK52" i="97"/>
  <c r="FI60" i="97"/>
  <c r="GK60" i="97"/>
  <c r="FM8" i="97"/>
  <c r="GD8" i="97"/>
  <c r="FM21" i="97"/>
  <c r="GD21" i="97"/>
  <c r="FM34" i="97"/>
  <c r="GD34" i="97"/>
  <c r="FM54" i="97"/>
  <c r="GD54" i="97"/>
  <c r="FM61" i="97"/>
  <c r="GD61" i="97"/>
  <c r="FQ8" i="97"/>
  <c r="GL8" i="97"/>
  <c r="FQ22" i="97"/>
  <c r="GL22" i="97"/>
  <c r="FQ30" i="97"/>
  <c r="GL30" i="97"/>
  <c r="FQ52" i="97"/>
  <c r="GL52" i="97"/>
  <c r="FQ59" i="97"/>
  <c r="GL59" i="97"/>
  <c r="FU7" i="97"/>
  <c r="GM7" i="97"/>
  <c r="FU15" i="97"/>
  <c r="GM15" i="97"/>
  <c r="FU22" i="97"/>
  <c r="GM22" i="97"/>
  <c r="FU29" i="97"/>
  <c r="GM29" i="97"/>
  <c r="FU49" i="97"/>
  <c r="GM49" i="97"/>
  <c r="FU56" i="97"/>
  <c r="GM56" i="97"/>
  <c r="FU63" i="97"/>
  <c r="GM63" i="97"/>
  <c r="ES26" i="97"/>
  <c r="ES40" i="97"/>
  <c r="EW15" i="97"/>
  <c r="EW22" i="97"/>
  <c r="FE18" i="97"/>
  <c r="FE32" i="97"/>
  <c r="FM15" i="97"/>
  <c r="FQ14" i="97"/>
  <c r="FQ44" i="97"/>
  <c r="FU36" i="97"/>
  <c r="FU42" i="97"/>
  <c r="ES39" i="97"/>
  <c r="GB39" i="97"/>
  <c r="EW21" i="97"/>
  <c r="GJ21" i="97"/>
  <c r="EW33" i="97"/>
  <c r="GJ33" i="97"/>
  <c r="EW60" i="97"/>
  <c r="GJ60" i="97"/>
  <c r="FA22" i="97"/>
  <c r="GS22" i="97"/>
  <c r="GU22" i="97" s="1"/>
  <c r="FA29" i="97"/>
  <c r="GS29" i="97"/>
  <c r="GU29" i="97" s="1"/>
  <c r="FA61" i="97"/>
  <c r="GS61" i="97"/>
  <c r="GU61" i="97" s="1"/>
  <c r="FE17" i="97"/>
  <c r="GC17" i="97"/>
  <c r="FE31" i="97"/>
  <c r="GC31" i="97"/>
  <c r="GE31" i="97" s="1"/>
  <c r="GF31" i="97" s="1"/>
  <c r="FI35" i="97"/>
  <c r="GK35" i="97"/>
  <c r="FM14" i="97"/>
  <c r="GD14" i="97"/>
  <c r="FQ28" i="97"/>
  <c r="GL28" i="97"/>
  <c r="FU27" i="97"/>
  <c r="GM27" i="97"/>
  <c r="FU47" i="97"/>
  <c r="GM47" i="97"/>
  <c r="ES9" i="97"/>
  <c r="GB9" i="97"/>
  <c r="ES29" i="97"/>
  <c r="GB29" i="97"/>
  <c r="ES50" i="97"/>
  <c r="GB50" i="97"/>
  <c r="EW11" i="97"/>
  <c r="GJ11" i="97"/>
  <c r="EW58" i="97"/>
  <c r="GJ58" i="97"/>
  <c r="GN58" i="97" s="1"/>
  <c r="EW64" i="97"/>
  <c r="GJ64" i="97"/>
  <c r="FA42" i="97"/>
  <c r="GS42" i="97"/>
  <c r="GU42" i="97" s="1"/>
  <c r="FA58" i="97"/>
  <c r="GS58" i="97"/>
  <c r="GU58" i="97" s="1"/>
  <c r="FE21" i="97"/>
  <c r="GC21" i="97"/>
  <c r="FI18" i="97"/>
  <c r="GK18" i="97"/>
  <c r="FI48" i="97"/>
  <c r="GK48" i="97"/>
  <c r="FM17" i="97"/>
  <c r="GD17" i="97"/>
  <c r="FM36" i="97"/>
  <c r="GD36" i="97"/>
  <c r="FQ33" i="97"/>
  <c r="GL33" i="97"/>
  <c r="FU18" i="97"/>
  <c r="GM18" i="97"/>
  <c r="ES22" i="97"/>
  <c r="GB22" i="97"/>
  <c r="ES56" i="97"/>
  <c r="GB56" i="97"/>
  <c r="EW10" i="97"/>
  <c r="GJ10" i="97"/>
  <c r="EW37" i="97"/>
  <c r="GJ37" i="97"/>
  <c r="FA11" i="97"/>
  <c r="GS11" i="97"/>
  <c r="GU11" i="97" s="1"/>
  <c r="FE34" i="97"/>
  <c r="GC34" i="97"/>
  <c r="FE55" i="97"/>
  <c r="GC55" i="97"/>
  <c r="FI17" i="97"/>
  <c r="GK17" i="97"/>
  <c r="FI54" i="97"/>
  <c r="GK54" i="97"/>
  <c r="FM48" i="97"/>
  <c r="GD48" i="97"/>
  <c r="FQ24" i="97"/>
  <c r="GL24" i="97"/>
  <c r="FQ39" i="97"/>
  <c r="GL39" i="97"/>
  <c r="FQ61" i="97"/>
  <c r="GL61" i="97"/>
  <c r="FU9" i="97"/>
  <c r="GM9" i="97"/>
  <c r="FU24" i="97"/>
  <c r="GM24" i="97"/>
  <c r="FU31" i="97"/>
  <c r="GM31" i="97"/>
  <c r="FU51" i="97"/>
  <c r="GM51" i="97"/>
  <c r="ES13" i="97"/>
  <c r="GB13" i="97"/>
  <c r="ES32" i="97"/>
  <c r="GB32" i="97"/>
  <c r="ES46" i="97"/>
  <c r="GB46" i="97"/>
  <c r="ES53" i="97"/>
  <c r="GB53" i="97"/>
  <c r="ES60" i="97"/>
  <c r="GB60" i="97"/>
  <c r="EW7" i="97"/>
  <c r="GJ7" i="97"/>
  <c r="EW34" i="97"/>
  <c r="GJ34" i="97"/>
  <c r="EW41" i="97"/>
  <c r="GJ41" i="97"/>
  <c r="EW48" i="97"/>
  <c r="GJ48" i="97"/>
  <c r="EW55" i="97"/>
  <c r="GJ55" i="97"/>
  <c r="EW61" i="97"/>
  <c r="GJ61" i="97"/>
  <c r="FA8" i="97"/>
  <c r="GS8" i="97"/>
  <c r="GU8" i="97" s="1"/>
  <c r="FA16" i="97"/>
  <c r="GS16" i="97"/>
  <c r="GU16" i="97" s="1"/>
  <c r="FA23" i="97"/>
  <c r="GS23" i="97"/>
  <c r="GU23" i="97" s="1"/>
  <c r="FA30" i="97"/>
  <c r="GS30" i="97"/>
  <c r="GU30" i="97" s="1"/>
  <c r="FA38" i="97"/>
  <c r="GS38" i="97"/>
  <c r="GU38" i="97" s="1"/>
  <c r="FA46" i="97"/>
  <c r="GS46" i="97"/>
  <c r="GU46" i="97" s="1"/>
  <c r="FA54" i="97"/>
  <c r="GS54" i="97"/>
  <c r="GU54" i="97" s="1"/>
  <c r="FA62" i="97"/>
  <c r="GS62" i="97"/>
  <c r="GU62" i="97" s="1"/>
  <c r="FE10" i="97"/>
  <c r="GC10" i="97"/>
  <c r="FE46" i="97"/>
  <c r="GC46" i="97"/>
  <c r="FE59" i="97"/>
  <c r="GC59" i="97"/>
  <c r="GE59" i="97" s="1"/>
  <c r="GF59" i="97" s="1"/>
  <c r="FI14" i="97"/>
  <c r="GK14" i="97"/>
  <c r="FI29" i="97"/>
  <c r="GK29" i="97"/>
  <c r="FI36" i="97"/>
  <c r="GK36" i="97"/>
  <c r="FI44" i="97"/>
  <c r="GK44" i="97"/>
  <c r="FI51" i="97"/>
  <c r="GK51" i="97"/>
  <c r="FI59" i="97"/>
  <c r="GK59" i="97"/>
  <c r="FM7" i="97"/>
  <c r="GD7" i="97"/>
  <c r="FM20" i="97"/>
  <c r="GD20" i="97"/>
  <c r="FM27" i="97"/>
  <c r="GD27" i="97"/>
  <c r="FM33" i="97"/>
  <c r="GD33" i="97"/>
  <c r="FM39" i="97"/>
  <c r="GD39" i="97"/>
  <c r="FM46" i="97"/>
  <c r="GD46" i="97"/>
  <c r="FM53" i="97"/>
  <c r="GD53" i="97"/>
  <c r="FM60" i="97"/>
  <c r="GD60" i="97"/>
  <c r="FQ7" i="97"/>
  <c r="GL7" i="97"/>
  <c r="FQ21" i="97"/>
  <c r="GL21" i="97"/>
  <c r="FQ29" i="97"/>
  <c r="GL29" i="97"/>
  <c r="FQ37" i="97"/>
  <c r="GL37" i="97"/>
  <c r="FQ51" i="97"/>
  <c r="GL51" i="97"/>
  <c r="FU14" i="97"/>
  <c r="GM14" i="97"/>
  <c r="FU21" i="97"/>
  <c r="GM21" i="97"/>
  <c r="FU28" i="97"/>
  <c r="GM28" i="97"/>
  <c r="FU48" i="97"/>
  <c r="GM48" i="97"/>
  <c r="FU55" i="97"/>
  <c r="GM55" i="97"/>
  <c r="FU62" i="97"/>
  <c r="GM62" i="97"/>
  <c r="ES19" i="97"/>
  <c r="EW27" i="97"/>
  <c r="FE24" i="97"/>
  <c r="FE38" i="97"/>
  <c r="FE52" i="97"/>
  <c r="FQ58" i="97"/>
  <c r="HA65" i="97"/>
  <c r="FT65" i="97"/>
  <c r="FU65" i="97" s="1"/>
  <c r="FP65" i="97"/>
  <c r="FQ65" i="97" s="1"/>
  <c r="FL65" i="97"/>
  <c r="FM65" i="97" s="1"/>
  <c r="FH65" i="97"/>
  <c r="FI65" i="97" s="1"/>
  <c r="FD65" i="97"/>
  <c r="FE65" i="97" s="1"/>
  <c r="EZ65" i="97"/>
  <c r="FA65" i="97" s="1"/>
  <c r="EV65" i="97"/>
  <c r="EW65" i="97" s="1"/>
  <c r="ER65" i="97"/>
  <c r="ES65" i="97" s="1"/>
  <c r="GN22" i="97" l="1"/>
  <c r="GO22" i="97" s="1"/>
  <c r="GN61" i="97"/>
  <c r="GO61" i="97" s="1"/>
  <c r="GN37" i="97"/>
  <c r="GO37" i="97" s="1"/>
  <c r="GN33" i="97"/>
  <c r="GO33" i="97" s="1"/>
  <c r="GN31" i="97"/>
  <c r="GO31" i="97" s="1"/>
  <c r="GN40" i="97"/>
  <c r="GO40" i="97" s="1"/>
  <c r="GN15" i="97"/>
  <c r="GO15" i="97" s="1"/>
  <c r="GN62" i="97"/>
  <c r="GO62" i="97" s="1"/>
  <c r="GN42" i="97"/>
  <c r="GO42" i="97" s="1"/>
  <c r="GN57" i="97"/>
  <c r="GO57" i="97" s="1"/>
  <c r="GN17" i="97"/>
  <c r="GO17" i="97" s="1"/>
  <c r="GN26" i="97"/>
  <c r="GO26" i="97" s="1"/>
  <c r="GN19" i="97"/>
  <c r="GO19" i="97" s="1"/>
  <c r="GN27" i="97"/>
  <c r="GO27" i="97" s="1"/>
  <c r="GN13" i="97"/>
  <c r="GO13" i="97" s="1"/>
  <c r="GN32" i="97"/>
  <c r="GO32" i="97" s="1"/>
  <c r="GN51" i="97"/>
  <c r="GO51" i="97" s="1"/>
  <c r="GN48" i="97"/>
  <c r="GO48" i="97" s="1"/>
  <c r="GN34" i="97"/>
  <c r="GO34" i="97" s="1"/>
  <c r="GN49" i="97"/>
  <c r="GO49" i="97" s="1"/>
  <c r="GN8" i="97"/>
  <c r="GO8" i="97" s="1"/>
  <c r="GN30" i="97"/>
  <c r="GO30" i="97" s="1"/>
  <c r="GN47" i="97"/>
  <c r="GO47" i="97" s="1"/>
  <c r="GN56" i="97"/>
  <c r="GO56" i="97" s="1"/>
  <c r="GN59" i="97"/>
  <c r="GO59" i="97" s="1"/>
  <c r="GN55" i="97"/>
  <c r="GO55" i="97" s="1"/>
  <c r="GN41" i="97"/>
  <c r="GO41" i="97" s="1"/>
  <c r="GN7" i="97"/>
  <c r="GO7" i="97" s="1"/>
  <c r="GN10" i="97"/>
  <c r="GO10" i="97" s="1"/>
  <c r="GN64" i="97"/>
  <c r="GN11" i="97"/>
  <c r="GO11" i="97" s="1"/>
  <c r="GN60" i="97"/>
  <c r="GO60" i="97" s="1"/>
  <c r="GN21" i="97"/>
  <c r="GO21" i="97" s="1"/>
  <c r="GN50" i="97"/>
  <c r="GO50" i="97" s="1"/>
  <c r="GN36" i="97"/>
  <c r="GO36" i="97" s="1"/>
  <c r="GN23" i="97"/>
  <c r="GO23" i="97" s="1"/>
  <c r="GN9" i="97"/>
  <c r="GO9" i="97" s="1"/>
  <c r="GN24" i="97"/>
  <c r="GO24" i="97" s="1"/>
  <c r="GN63" i="97"/>
  <c r="GO63" i="97" s="1"/>
  <c r="GN25" i="97"/>
  <c r="GO25" i="97" s="1"/>
  <c r="GN53" i="97"/>
  <c r="GO53" i="97" s="1"/>
  <c r="GN43" i="97"/>
  <c r="GO43" i="97" s="1"/>
  <c r="GN29" i="97"/>
  <c r="GO29" i="97" s="1"/>
  <c r="GN16" i="97"/>
  <c r="GO16" i="97" s="1"/>
  <c r="GN14" i="97"/>
  <c r="GO14" i="97" s="1"/>
  <c r="GN28" i="97"/>
  <c r="GO28" i="97" s="1"/>
  <c r="GN18" i="97"/>
  <c r="GO18" i="97" s="1"/>
  <c r="GN45" i="97"/>
  <c r="GO45" i="97" s="1"/>
  <c r="GN35" i="97"/>
  <c r="GO35" i="97" s="1"/>
  <c r="GN38" i="97"/>
  <c r="GO38" i="97" s="1"/>
  <c r="GN52" i="97"/>
  <c r="GO52" i="97" s="1"/>
  <c r="GN39" i="97"/>
  <c r="GP39" i="97" s="1"/>
  <c r="GN12" i="97"/>
  <c r="GO12" i="97" s="1"/>
  <c r="GN46" i="97"/>
  <c r="GO46" i="97" s="1"/>
  <c r="GN20" i="97"/>
  <c r="GO20" i="97" s="1"/>
  <c r="GN54" i="97"/>
  <c r="GO54" i="97" s="1"/>
  <c r="GN44" i="97"/>
  <c r="GO44" i="97" s="1"/>
  <c r="GO58" i="97"/>
  <c r="GE50" i="97"/>
  <c r="GF50" i="97" s="1"/>
  <c r="GE56" i="97"/>
  <c r="GF56" i="97" s="1"/>
  <c r="GE22" i="97"/>
  <c r="GF22" i="97" s="1"/>
  <c r="GE53" i="97"/>
  <c r="GF53" i="97" s="1"/>
  <c r="GE61" i="97"/>
  <c r="GG61" i="97" s="1"/>
  <c r="GE20" i="97"/>
  <c r="GF20" i="97" s="1"/>
  <c r="GE8" i="97"/>
  <c r="GF8" i="97" s="1"/>
  <c r="GE36" i="97"/>
  <c r="GF36" i="97" s="1"/>
  <c r="GE52" i="97"/>
  <c r="GF52" i="97" s="1"/>
  <c r="GE34" i="97"/>
  <c r="GF34" i="97" s="1"/>
  <c r="GE49" i="97"/>
  <c r="GF49" i="97" s="1"/>
  <c r="GG59" i="97"/>
  <c r="GE9" i="97"/>
  <c r="GF9" i="97" s="1"/>
  <c r="GE15" i="97"/>
  <c r="GF15" i="97" s="1"/>
  <c r="GE16" i="97"/>
  <c r="GF16" i="97" s="1"/>
  <c r="GE13" i="97"/>
  <c r="GG13" i="97" s="1"/>
  <c r="GE62" i="97"/>
  <c r="GF62" i="97" s="1"/>
  <c r="GE41" i="97"/>
  <c r="GE42" i="97"/>
  <c r="GG42" i="97" s="1"/>
  <c r="GG38" i="97"/>
  <c r="GE43" i="97"/>
  <c r="GF26" i="97"/>
  <c r="GG26" i="97"/>
  <c r="GF63" i="97"/>
  <c r="GG63" i="97"/>
  <c r="GF40" i="97"/>
  <c r="GG40" i="97"/>
  <c r="GF19" i="97"/>
  <c r="GG19" i="97"/>
  <c r="GV8" i="97"/>
  <c r="GW8" i="97"/>
  <c r="GW29" i="97"/>
  <c r="GV29" i="97"/>
  <c r="GV27" i="97"/>
  <c r="GW27" i="97"/>
  <c r="GW60" i="97"/>
  <c r="GV60" i="97"/>
  <c r="GW40" i="97"/>
  <c r="GV40" i="97"/>
  <c r="GE7" i="97"/>
  <c r="GB65" i="97"/>
  <c r="GW24" i="97"/>
  <c r="GV24" i="97"/>
  <c r="GV19" i="97"/>
  <c r="GW19" i="97"/>
  <c r="GV48" i="97"/>
  <c r="GW48" i="97"/>
  <c r="GW18" i="97"/>
  <c r="GV18" i="97"/>
  <c r="GW34" i="97"/>
  <c r="GV34" i="97"/>
  <c r="GS65" i="97"/>
  <c r="GW54" i="97"/>
  <c r="GV54" i="97"/>
  <c r="GV23" i="97"/>
  <c r="GW23" i="97"/>
  <c r="GJ65" i="97"/>
  <c r="GV43" i="97"/>
  <c r="GW43" i="97"/>
  <c r="GW44" i="97"/>
  <c r="GV44" i="97"/>
  <c r="GW14" i="97"/>
  <c r="GV14" i="97"/>
  <c r="GE44" i="97"/>
  <c r="GL65" i="97"/>
  <c r="GE64" i="97"/>
  <c r="GM65" i="97"/>
  <c r="GK65" i="97"/>
  <c r="GE33" i="97"/>
  <c r="GE35" i="97"/>
  <c r="GE57" i="97"/>
  <c r="GG24" i="97"/>
  <c r="GE32" i="97"/>
  <c r="GE29" i="97"/>
  <c r="GE37" i="97"/>
  <c r="GE11" i="97"/>
  <c r="GV11" i="97"/>
  <c r="GW11" i="97"/>
  <c r="GV59" i="97"/>
  <c r="GW59" i="97"/>
  <c r="GW28" i="97"/>
  <c r="GV28" i="97"/>
  <c r="GV47" i="97"/>
  <c r="GW47" i="97"/>
  <c r="GW10" i="97"/>
  <c r="GV10" i="97"/>
  <c r="GV49" i="97"/>
  <c r="GW49" i="97"/>
  <c r="GV55" i="97"/>
  <c r="GW55" i="97"/>
  <c r="GW63" i="97"/>
  <c r="GV63" i="97"/>
  <c r="GW31" i="97"/>
  <c r="GV31" i="97"/>
  <c r="GV33" i="97"/>
  <c r="GW33" i="97"/>
  <c r="GV15" i="97"/>
  <c r="GW15" i="97"/>
  <c r="GV56" i="97"/>
  <c r="GW56" i="97"/>
  <c r="GW25" i="97"/>
  <c r="GV25" i="97"/>
  <c r="GW50" i="97"/>
  <c r="GV50" i="97"/>
  <c r="GW37" i="97"/>
  <c r="GV37" i="97"/>
  <c r="GE58" i="97"/>
  <c r="GD65" i="97"/>
  <c r="GC65" i="97"/>
  <c r="GE30" i="97"/>
  <c r="GG31" i="97"/>
  <c r="GE47" i="97"/>
  <c r="GE48" i="97"/>
  <c r="GE21" i="97"/>
  <c r="GE23" i="97"/>
  <c r="GE12" i="97"/>
  <c r="GW17" i="97"/>
  <c r="GV17" i="97"/>
  <c r="GW12" i="97"/>
  <c r="GV12" i="97"/>
  <c r="GW46" i="97"/>
  <c r="GV46" i="97"/>
  <c r="GW36" i="97"/>
  <c r="GV36" i="97"/>
  <c r="GW62" i="97"/>
  <c r="GV62" i="97"/>
  <c r="GW30" i="97"/>
  <c r="GV30" i="97"/>
  <c r="GW42" i="97"/>
  <c r="GV42" i="97"/>
  <c r="GW22" i="97"/>
  <c r="GV22" i="97"/>
  <c r="GV51" i="97"/>
  <c r="GW51" i="97"/>
  <c r="GW13" i="97"/>
  <c r="GV13" i="97"/>
  <c r="GW52" i="97"/>
  <c r="GV52" i="97"/>
  <c r="GW21" i="97"/>
  <c r="GV21" i="97"/>
  <c r="GE10" i="97"/>
  <c r="GE60" i="97"/>
  <c r="GE46" i="97"/>
  <c r="GE39" i="97"/>
  <c r="GE51" i="97"/>
  <c r="GW38" i="97"/>
  <c r="GV38" i="97"/>
  <c r="GW58" i="97"/>
  <c r="GV58" i="97"/>
  <c r="GV16" i="97"/>
  <c r="GW16" i="97"/>
  <c r="GW61" i="97"/>
  <c r="GV61" i="97"/>
  <c r="GW35" i="97"/>
  <c r="GV35" i="97"/>
  <c r="GW53" i="97"/>
  <c r="GV53" i="97"/>
  <c r="GV39" i="97"/>
  <c r="GW39" i="97"/>
  <c r="GV9" i="97"/>
  <c r="GW9" i="97"/>
  <c r="GV57" i="97"/>
  <c r="GW57" i="97"/>
  <c r="GW45" i="97"/>
  <c r="GV45" i="97"/>
  <c r="GW64" i="97"/>
  <c r="GV64" i="97"/>
  <c r="GW32" i="97"/>
  <c r="GV32" i="97"/>
  <c r="GV41" i="97"/>
  <c r="GW41" i="97"/>
  <c r="GG18" i="97"/>
  <c r="GE54" i="97"/>
  <c r="GE14" i="97"/>
  <c r="GE17" i="97"/>
  <c r="GE25" i="97"/>
  <c r="GE55" i="97"/>
  <c r="GE27" i="97"/>
  <c r="GE28" i="97"/>
  <c r="GE45" i="97"/>
  <c r="GP44" i="97" l="1"/>
  <c r="GO39" i="97"/>
  <c r="GP41" i="97"/>
  <c r="GP51" i="97"/>
  <c r="GP21" i="97"/>
  <c r="GP27" i="97"/>
  <c r="GP14" i="97"/>
  <c r="GG36" i="97"/>
  <c r="GG50" i="97"/>
  <c r="GP38" i="97"/>
  <c r="GG52" i="97"/>
  <c r="GG56" i="97"/>
  <c r="GG15" i="97"/>
  <c r="GP26" i="97"/>
  <c r="GG22" i="97"/>
  <c r="GP59" i="97"/>
  <c r="GG20" i="97"/>
  <c r="GG34" i="97"/>
  <c r="GP58" i="97"/>
  <c r="GG49" i="97"/>
  <c r="GF13" i="97"/>
  <c r="GG53" i="97"/>
  <c r="GG8" i="97"/>
  <c r="GF61" i="97"/>
  <c r="GG9" i="97"/>
  <c r="GG16" i="97"/>
  <c r="GP22" i="97"/>
  <c r="GP46" i="97"/>
  <c r="GP42" i="97"/>
  <c r="GP11" i="97"/>
  <c r="GP31" i="97"/>
  <c r="GF41" i="97"/>
  <c r="GG41" i="97"/>
  <c r="GF42" i="97"/>
  <c r="GG62" i="97"/>
  <c r="GP13" i="97"/>
  <c r="GF43" i="97"/>
  <c r="GG43" i="97"/>
  <c r="GG25" i="97"/>
  <c r="GF25" i="97"/>
  <c r="GF23" i="97"/>
  <c r="GG23" i="97"/>
  <c r="GP60" i="97"/>
  <c r="GP54" i="97"/>
  <c r="GP23" i="97"/>
  <c r="GP17" i="97"/>
  <c r="GW7" i="97"/>
  <c r="GV7" i="97"/>
  <c r="GV65" i="97" s="1"/>
  <c r="GU65" i="97"/>
  <c r="GW65" i="97" s="1"/>
  <c r="GP35" i="97"/>
  <c r="GP34" i="97"/>
  <c r="GF30" i="97"/>
  <c r="GG30" i="97"/>
  <c r="GP47" i="97"/>
  <c r="GP29" i="97"/>
  <c r="GF54" i="97"/>
  <c r="GG54" i="97"/>
  <c r="GF46" i="97"/>
  <c r="GG46" i="97"/>
  <c r="GP43" i="97"/>
  <c r="GG37" i="97"/>
  <c r="GF37" i="97"/>
  <c r="GP55" i="97"/>
  <c r="GP36" i="97"/>
  <c r="GF28" i="97"/>
  <c r="GG28" i="97"/>
  <c r="GF14" i="97"/>
  <c r="GG14" i="97"/>
  <c r="GP37" i="97"/>
  <c r="GF60" i="97"/>
  <c r="GG60" i="97"/>
  <c r="GP16" i="97"/>
  <c r="GF58" i="97"/>
  <c r="GG58" i="97"/>
  <c r="GP20" i="97"/>
  <c r="GF32" i="97"/>
  <c r="GG32" i="97"/>
  <c r="GP9" i="97"/>
  <c r="GP25" i="97"/>
  <c r="GP30" i="97"/>
  <c r="GF39" i="97"/>
  <c r="GG39" i="97"/>
  <c r="GP45" i="97"/>
  <c r="GF48" i="97"/>
  <c r="GG48" i="97"/>
  <c r="GP15" i="97"/>
  <c r="GF11" i="97"/>
  <c r="GG11" i="97"/>
  <c r="GP10" i="97"/>
  <c r="GP24" i="97"/>
  <c r="GP49" i="97"/>
  <c r="GP48" i="97"/>
  <c r="GF7" i="97"/>
  <c r="GE65" i="97"/>
  <c r="GG65" i="97" s="1"/>
  <c r="GG7" i="97"/>
  <c r="GG45" i="97"/>
  <c r="GF45" i="97"/>
  <c r="GF17" i="97"/>
  <c r="GG17" i="97"/>
  <c r="GP19" i="97"/>
  <c r="GF21" i="97"/>
  <c r="GG21" i="97"/>
  <c r="GP62" i="97"/>
  <c r="GP57" i="97"/>
  <c r="GP64" i="97"/>
  <c r="GO64" i="97"/>
  <c r="GP63" i="97"/>
  <c r="GP8" i="97"/>
  <c r="GP33" i="97"/>
  <c r="GF51" i="97"/>
  <c r="GG51" i="97"/>
  <c r="GP28" i="97"/>
  <c r="GF64" i="97"/>
  <c r="GG64" i="97"/>
  <c r="GP32" i="97"/>
  <c r="GF47" i="97"/>
  <c r="GG47" i="97"/>
  <c r="GP7" i="97"/>
  <c r="GN65" i="97"/>
  <c r="GP65" i="97" s="1"/>
  <c r="GP61" i="97"/>
  <c r="GG57" i="97"/>
  <c r="GF57" i="97"/>
  <c r="GP40" i="97"/>
  <c r="GP12" i="97"/>
  <c r="GF27" i="97"/>
  <c r="GG27" i="97"/>
  <c r="GG29" i="97"/>
  <c r="GF29" i="97"/>
  <c r="GG33" i="97"/>
  <c r="GF33" i="97"/>
  <c r="GP50" i="97"/>
  <c r="GF12" i="97"/>
  <c r="GG12" i="97"/>
  <c r="GP53" i="97"/>
  <c r="GF55" i="97"/>
  <c r="GG55" i="97"/>
  <c r="GP18" i="97"/>
  <c r="GP56" i="97"/>
  <c r="GF44" i="97"/>
  <c r="GG44" i="97"/>
  <c r="GF35" i="97"/>
  <c r="GG35" i="97"/>
  <c r="GF10" i="97"/>
  <c r="GG10" i="97"/>
  <c r="GP52" i="97"/>
  <c r="EB65" i="97"/>
  <c r="EA65" i="97"/>
  <c r="EC64" i="97"/>
  <c r="ED64" i="97" s="1"/>
  <c r="EC63" i="97"/>
  <c r="ED63" i="97" s="1"/>
  <c r="EC62" i="97"/>
  <c r="ED62" i="97" s="1"/>
  <c r="EC61" i="97"/>
  <c r="ED61" i="97" s="1"/>
  <c r="EC60" i="97"/>
  <c r="ED60" i="97" s="1"/>
  <c r="EC59" i="97"/>
  <c r="ED59" i="97" s="1"/>
  <c r="EC58" i="97"/>
  <c r="ED58" i="97" s="1"/>
  <c r="EC57" i="97"/>
  <c r="ED57" i="97" s="1"/>
  <c r="EC56" i="97"/>
  <c r="ED56" i="97" s="1"/>
  <c r="EC55" i="97"/>
  <c r="ED55" i="97" s="1"/>
  <c r="EC54" i="97"/>
  <c r="ED54" i="97" s="1"/>
  <c r="EC53" i="97"/>
  <c r="ED53" i="97" s="1"/>
  <c r="EC52" i="97"/>
  <c r="ED52" i="97" s="1"/>
  <c r="EC51" i="97"/>
  <c r="ED51" i="97" s="1"/>
  <c r="EC50" i="97"/>
  <c r="ED50" i="97" s="1"/>
  <c r="EC49" i="97"/>
  <c r="ED49" i="97" s="1"/>
  <c r="EC48" i="97"/>
  <c r="ED48" i="97" s="1"/>
  <c r="EC47" i="97"/>
  <c r="ED47" i="97" s="1"/>
  <c r="EC46" i="97"/>
  <c r="ED46" i="97" s="1"/>
  <c r="EC45" i="97"/>
  <c r="ED45" i="97" s="1"/>
  <c r="EC44" i="97"/>
  <c r="ED44" i="97" s="1"/>
  <c r="EC43" i="97"/>
  <c r="ED43" i="97" s="1"/>
  <c r="EC42" i="97"/>
  <c r="ED42" i="97" s="1"/>
  <c r="EC41" i="97"/>
  <c r="ED41" i="97" s="1"/>
  <c r="EC40" i="97"/>
  <c r="ED40" i="97" s="1"/>
  <c r="EC39" i="97"/>
  <c r="ED39" i="97" s="1"/>
  <c r="EC38" i="97"/>
  <c r="ED38" i="97" s="1"/>
  <c r="EC37" i="97"/>
  <c r="ED37" i="97" s="1"/>
  <c r="EC36" i="97"/>
  <c r="ED36" i="97" s="1"/>
  <c r="EC35" i="97"/>
  <c r="ED35" i="97" s="1"/>
  <c r="EC34" i="97"/>
  <c r="ED34" i="97" s="1"/>
  <c r="EC33" i="97"/>
  <c r="ED33" i="97" s="1"/>
  <c r="EC32" i="97"/>
  <c r="ED32" i="97" s="1"/>
  <c r="EC31" i="97"/>
  <c r="ED31" i="97" s="1"/>
  <c r="EC30" i="97"/>
  <c r="ED30" i="97" s="1"/>
  <c r="EC29" i="97"/>
  <c r="ED29" i="97" s="1"/>
  <c r="EC28" i="97"/>
  <c r="ED28" i="97" s="1"/>
  <c r="EC27" i="97"/>
  <c r="ED27" i="97" s="1"/>
  <c r="EC26" i="97"/>
  <c r="ED26" i="97" s="1"/>
  <c r="EC25" i="97"/>
  <c r="ED25" i="97" s="1"/>
  <c r="EC24" i="97"/>
  <c r="ED24" i="97" s="1"/>
  <c r="EC23" i="97"/>
  <c r="ED23" i="97" s="1"/>
  <c r="EC22" i="97"/>
  <c r="ED22" i="97" s="1"/>
  <c r="EC21" i="97"/>
  <c r="ED21" i="97" s="1"/>
  <c r="EC20" i="97"/>
  <c r="ED20" i="97" s="1"/>
  <c r="EC19" i="97"/>
  <c r="ED19" i="97" s="1"/>
  <c r="EC18" i="97"/>
  <c r="ED18" i="97" s="1"/>
  <c r="EC17" i="97"/>
  <c r="ED17" i="97" s="1"/>
  <c r="EC16" i="97"/>
  <c r="ED16" i="97" s="1"/>
  <c r="EC15" i="97"/>
  <c r="ED15" i="97" s="1"/>
  <c r="EC14" i="97"/>
  <c r="ED14" i="97" s="1"/>
  <c r="EC13" i="97"/>
  <c r="ED13" i="97" s="1"/>
  <c r="EC12" i="97"/>
  <c r="ED12" i="97" s="1"/>
  <c r="EC11" i="97"/>
  <c r="ED11" i="97" s="1"/>
  <c r="EC10" i="97"/>
  <c r="ED10" i="97" s="1"/>
  <c r="EC9" i="97"/>
  <c r="ED9" i="97" s="1"/>
  <c r="EC8" i="97"/>
  <c r="ED8" i="97" s="1"/>
  <c r="EC7" i="97"/>
  <c r="ED7" i="97" s="1"/>
  <c r="DX65" i="97"/>
  <c r="DW65" i="97"/>
  <c r="DY64" i="97"/>
  <c r="DZ64" i="97" s="1"/>
  <c r="DY63" i="97"/>
  <c r="DZ63" i="97" s="1"/>
  <c r="DY62" i="97"/>
  <c r="DZ62" i="97" s="1"/>
  <c r="DY61" i="97"/>
  <c r="DZ61" i="97" s="1"/>
  <c r="DY60" i="97"/>
  <c r="DZ60" i="97" s="1"/>
  <c r="DY59" i="97"/>
  <c r="DZ59" i="97" s="1"/>
  <c r="DY58" i="97"/>
  <c r="DZ58" i="97" s="1"/>
  <c r="DY57" i="97"/>
  <c r="DZ57" i="97" s="1"/>
  <c r="DY56" i="97"/>
  <c r="DZ56" i="97" s="1"/>
  <c r="DY55" i="97"/>
  <c r="DZ55" i="97" s="1"/>
  <c r="DY54" i="97"/>
  <c r="DZ54" i="97" s="1"/>
  <c r="DY53" i="97"/>
  <c r="DZ53" i="97" s="1"/>
  <c r="DY52" i="97"/>
  <c r="DZ52" i="97" s="1"/>
  <c r="DY51" i="97"/>
  <c r="DZ51" i="97" s="1"/>
  <c r="DY50" i="97"/>
  <c r="DZ50" i="97" s="1"/>
  <c r="DY49" i="97"/>
  <c r="DZ49" i="97" s="1"/>
  <c r="DY48" i="97"/>
  <c r="DZ48" i="97" s="1"/>
  <c r="DY47" i="97"/>
  <c r="DZ47" i="97" s="1"/>
  <c r="DY46" i="97"/>
  <c r="DZ46" i="97" s="1"/>
  <c r="DY45" i="97"/>
  <c r="DZ45" i="97" s="1"/>
  <c r="DY44" i="97"/>
  <c r="DZ44" i="97" s="1"/>
  <c r="DY43" i="97"/>
  <c r="DZ43" i="97" s="1"/>
  <c r="DY42" i="97"/>
  <c r="DZ42" i="97" s="1"/>
  <c r="DY41" i="97"/>
  <c r="DZ41" i="97" s="1"/>
  <c r="DY40" i="97"/>
  <c r="DZ40" i="97" s="1"/>
  <c r="DY39" i="97"/>
  <c r="DZ39" i="97" s="1"/>
  <c r="DY38" i="97"/>
  <c r="DZ38" i="97" s="1"/>
  <c r="DY37" i="97"/>
  <c r="DZ37" i="97" s="1"/>
  <c r="DY36" i="97"/>
  <c r="DZ36" i="97" s="1"/>
  <c r="DY35" i="97"/>
  <c r="DZ35" i="97" s="1"/>
  <c r="DY34" i="97"/>
  <c r="DZ34" i="97" s="1"/>
  <c r="DY33" i="97"/>
  <c r="DZ33" i="97" s="1"/>
  <c r="DY32" i="97"/>
  <c r="DZ32" i="97" s="1"/>
  <c r="DY31" i="97"/>
  <c r="DZ31" i="97" s="1"/>
  <c r="DY30" i="97"/>
  <c r="DZ30" i="97" s="1"/>
  <c r="DY29" i="97"/>
  <c r="DZ29" i="97" s="1"/>
  <c r="DY28" i="97"/>
  <c r="DZ28" i="97" s="1"/>
  <c r="DY27" i="97"/>
  <c r="DZ27" i="97" s="1"/>
  <c r="DY26" i="97"/>
  <c r="DZ26" i="97" s="1"/>
  <c r="DY25" i="97"/>
  <c r="DZ25" i="97" s="1"/>
  <c r="DY24" i="97"/>
  <c r="DZ24" i="97" s="1"/>
  <c r="DY23" i="97"/>
  <c r="DZ23" i="97" s="1"/>
  <c r="DY22" i="97"/>
  <c r="DZ22" i="97" s="1"/>
  <c r="DY21" i="97"/>
  <c r="DZ21" i="97" s="1"/>
  <c r="DY20" i="97"/>
  <c r="DZ20" i="97" s="1"/>
  <c r="DY19" i="97"/>
  <c r="DZ19" i="97" s="1"/>
  <c r="DY18" i="97"/>
  <c r="DZ18" i="97" s="1"/>
  <c r="DY17" i="97"/>
  <c r="DZ17" i="97" s="1"/>
  <c r="DY16" i="97"/>
  <c r="DZ16" i="97" s="1"/>
  <c r="DY15" i="97"/>
  <c r="DZ15" i="97" s="1"/>
  <c r="DY14" i="97"/>
  <c r="DZ14" i="97" s="1"/>
  <c r="DY13" i="97"/>
  <c r="DZ13" i="97" s="1"/>
  <c r="DY12" i="97"/>
  <c r="DZ12" i="97" s="1"/>
  <c r="DY11" i="97"/>
  <c r="DZ11" i="97" s="1"/>
  <c r="DY10" i="97"/>
  <c r="DZ10" i="97" s="1"/>
  <c r="DY9" i="97"/>
  <c r="DZ9" i="97" s="1"/>
  <c r="DY8" i="97"/>
  <c r="DZ8" i="97" s="1"/>
  <c r="DY7" i="97"/>
  <c r="DZ7" i="97" s="1"/>
  <c r="DT65" i="97"/>
  <c r="DS65" i="97"/>
  <c r="DU64" i="97"/>
  <c r="DV64" i="97" s="1"/>
  <c r="DU63" i="97"/>
  <c r="DV63" i="97" s="1"/>
  <c r="DU62" i="97"/>
  <c r="DV62" i="97" s="1"/>
  <c r="DU61" i="97"/>
  <c r="DV61" i="97" s="1"/>
  <c r="DU60" i="97"/>
  <c r="DV60" i="97" s="1"/>
  <c r="DU59" i="97"/>
  <c r="DV59" i="97" s="1"/>
  <c r="DU58" i="97"/>
  <c r="DV58" i="97" s="1"/>
  <c r="DU57" i="97"/>
  <c r="DV57" i="97" s="1"/>
  <c r="DU56" i="97"/>
  <c r="DV56" i="97" s="1"/>
  <c r="DU55" i="97"/>
  <c r="DV55" i="97" s="1"/>
  <c r="DU54" i="97"/>
  <c r="DV54" i="97" s="1"/>
  <c r="DU53" i="97"/>
  <c r="DV53" i="97" s="1"/>
  <c r="DU52" i="97"/>
  <c r="DV52" i="97" s="1"/>
  <c r="DU51" i="97"/>
  <c r="DV51" i="97" s="1"/>
  <c r="DU50" i="97"/>
  <c r="DV50" i="97" s="1"/>
  <c r="DU49" i="97"/>
  <c r="DV49" i="97" s="1"/>
  <c r="DU48" i="97"/>
  <c r="DV48" i="97" s="1"/>
  <c r="DU47" i="97"/>
  <c r="DV47" i="97" s="1"/>
  <c r="DU46" i="97"/>
  <c r="DV46" i="97" s="1"/>
  <c r="DU45" i="97"/>
  <c r="DV45" i="97" s="1"/>
  <c r="DU44" i="97"/>
  <c r="DV44" i="97" s="1"/>
  <c r="DU43" i="97"/>
  <c r="DV43" i="97" s="1"/>
  <c r="DU42" i="97"/>
  <c r="DV42" i="97" s="1"/>
  <c r="DU41" i="97"/>
  <c r="DV41" i="97" s="1"/>
  <c r="DU40" i="97"/>
  <c r="DV40" i="97" s="1"/>
  <c r="DU39" i="97"/>
  <c r="DV39" i="97" s="1"/>
  <c r="DU38" i="97"/>
  <c r="DV38" i="97" s="1"/>
  <c r="DU37" i="97"/>
  <c r="DV37" i="97" s="1"/>
  <c r="DU36" i="97"/>
  <c r="DV36" i="97" s="1"/>
  <c r="DU35" i="97"/>
  <c r="DV35" i="97" s="1"/>
  <c r="DU34" i="97"/>
  <c r="DV34" i="97" s="1"/>
  <c r="DU33" i="97"/>
  <c r="DV33" i="97" s="1"/>
  <c r="DU32" i="97"/>
  <c r="DV32" i="97" s="1"/>
  <c r="DU31" i="97"/>
  <c r="DV31" i="97" s="1"/>
  <c r="DU30" i="97"/>
  <c r="DV30" i="97" s="1"/>
  <c r="DU29" i="97"/>
  <c r="DV29" i="97" s="1"/>
  <c r="DU28" i="97"/>
  <c r="DV28" i="97" s="1"/>
  <c r="DU27" i="97"/>
  <c r="DV27" i="97" s="1"/>
  <c r="DU26" i="97"/>
  <c r="DV26" i="97" s="1"/>
  <c r="DU25" i="97"/>
  <c r="DV25" i="97" s="1"/>
  <c r="DU24" i="97"/>
  <c r="DV24" i="97" s="1"/>
  <c r="DU23" i="97"/>
  <c r="DV23" i="97" s="1"/>
  <c r="DU22" i="97"/>
  <c r="DV22" i="97" s="1"/>
  <c r="DU21" i="97"/>
  <c r="DV21" i="97" s="1"/>
  <c r="DU20" i="97"/>
  <c r="DV20" i="97" s="1"/>
  <c r="DU19" i="97"/>
  <c r="DV19" i="97" s="1"/>
  <c r="DU18" i="97"/>
  <c r="DV18" i="97" s="1"/>
  <c r="DU17" i="97"/>
  <c r="DV17" i="97" s="1"/>
  <c r="DU16" i="97"/>
  <c r="DV16" i="97" s="1"/>
  <c r="DU15" i="97"/>
  <c r="DV15" i="97" s="1"/>
  <c r="DU14" i="97"/>
  <c r="DV14" i="97" s="1"/>
  <c r="DU13" i="97"/>
  <c r="DV13" i="97" s="1"/>
  <c r="DU12" i="97"/>
  <c r="DV12" i="97" s="1"/>
  <c r="DU11" i="97"/>
  <c r="DV11" i="97" s="1"/>
  <c r="DU10" i="97"/>
  <c r="DV10" i="97" s="1"/>
  <c r="DU9" i="97"/>
  <c r="DV9" i="97" s="1"/>
  <c r="DU8" i="97"/>
  <c r="DV8" i="97" s="1"/>
  <c r="DU7" i="97"/>
  <c r="DV7" i="97" s="1"/>
  <c r="GF65" i="97" l="1"/>
  <c r="GO65" i="97"/>
  <c r="EC65" i="97"/>
  <c r="DY65" i="97"/>
  <c r="DU65" i="97"/>
  <c r="DP65" i="97"/>
  <c r="DO65" i="97"/>
  <c r="EH65" i="97" s="1"/>
  <c r="DQ64" i="97"/>
  <c r="DQ63" i="97"/>
  <c r="DQ62" i="97"/>
  <c r="DQ61" i="97"/>
  <c r="DQ60" i="97"/>
  <c r="DQ59" i="97"/>
  <c r="DQ58" i="97"/>
  <c r="DR58" i="97" s="1"/>
  <c r="DQ57" i="97"/>
  <c r="DR57" i="97" s="1"/>
  <c r="DQ56" i="97"/>
  <c r="DR56" i="97" s="1"/>
  <c r="DQ55" i="97"/>
  <c r="DQ54" i="97"/>
  <c r="DR54" i="97" s="1"/>
  <c r="DQ53" i="97"/>
  <c r="DQ52" i="97"/>
  <c r="DQ51" i="97"/>
  <c r="DQ50" i="97"/>
  <c r="DR50" i="97" s="1"/>
  <c r="DQ49" i="97"/>
  <c r="DR49" i="97" s="1"/>
  <c r="DQ48" i="97"/>
  <c r="DQ47" i="97"/>
  <c r="DR47" i="97" s="1"/>
  <c r="DQ46" i="97"/>
  <c r="DR46" i="97" s="1"/>
  <c r="DQ45" i="97"/>
  <c r="DQ44" i="97"/>
  <c r="DQ43" i="97"/>
  <c r="DR43" i="97" s="1"/>
  <c r="DQ42" i="97"/>
  <c r="DR42" i="97" s="1"/>
  <c r="DQ41" i="97"/>
  <c r="DR41" i="97" s="1"/>
  <c r="DQ40" i="97"/>
  <c r="DQ39" i="97"/>
  <c r="DQ38" i="97"/>
  <c r="DQ37" i="97"/>
  <c r="DQ36" i="97"/>
  <c r="DQ35" i="97"/>
  <c r="DQ34" i="97"/>
  <c r="DR34" i="97" s="1"/>
  <c r="DQ33" i="97"/>
  <c r="DR33" i="97" s="1"/>
  <c r="DQ32" i="97"/>
  <c r="DR32" i="97" s="1"/>
  <c r="DQ31" i="97"/>
  <c r="DR31" i="97" s="1"/>
  <c r="DQ30" i="97"/>
  <c r="DR30" i="97" s="1"/>
  <c r="DQ29" i="97"/>
  <c r="DQ28" i="97"/>
  <c r="DQ27" i="97"/>
  <c r="DQ26" i="97"/>
  <c r="DR26" i="97" s="1"/>
  <c r="DQ25" i="97"/>
  <c r="DR25" i="97" s="1"/>
  <c r="DQ24" i="97"/>
  <c r="DQ23" i="97"/>
  <c r="DQ22" i="97"/>
  <c r="DQ21" i="97"/>
  <c r="DQ20" i="97"/>
  <c r="DQ19" i="97"/>
  <c r="DQ18" i="97"/>
  <c r="DR18" i="97" s="1"/>
  <c r="DQ17" i="97"/>
  <c r="DR17" i="97" s="1"/>
  <c r="DQ16" i="97"/>
  <c r="DQ15" i="97"/>
  <c r="DR15" i="97" s="1"/>
  <c r="DQ14" i="97"/>
  <c r="DR14" i="97" s="1"/>
  <c r="DQ13" i="97"/>
  <c r="DQ12" i="97"/>
  <c r="DQ11" i="97"/>
  <c r="DQ10" i="97"/>
  <c r="DR10" i="97" s="1"/>
  <c r="DQ9" i="97"/>
  <c r="DR9" i="97" s="1"/>
  <c r="DQ8" i="97"/>
  <c r="DQ7" i="97"/>
  <c r="DZ65" i="97" l="1"/>
  <c r="ED65" i="97"/>
  <c r="DV65" i="97"/>
  <c r="DR11" i="97"/>
  <c r="DR63" i="97"/>
  <c r="DR48" i="97"/>
  <c r="DR59" i="97"/>
  <c r="DR22" i="97"/>
  <c r="DR38" i="97"/>
  <c r="DR19" i="97"/>
  <c r="DR35" i="97"/>
  <c r="DQ65" i="97"/>
  <c r="DR23" i="97"/>
  <c r="DR39" i="97"/>
  <c r="DR27" i="97"/>
  <c r="DR51" i="97"/>
  <c r="DR55" i="97"/>
  <c r="DR40" i="97"/>
  <c r="DR62" i="97"/>
  <c r="DR7" i="97"/>
  <c r="DR12" i="97"/>
  <c r="DR20" i="97"/>
  <c r="DR28" i="97"/>
  <c r="DR36" i="97"/>
  <c r="DR44" i="97"/>
  <c r="DR52" i="97"/>
  <c r="DR60" i="97"/>
  <c r="DR8" i="97"/>
  <c r="DR16" i="97"/>
  <c r="DR24" i="97"/>
  <c r="DR64" i="97"/>
  <c r="DR13" i="97"/>
  <c r="DR21" i="97"/>
  <c r="DR29" i="97"/>
  <c r="DR37" i="97"/>
  <c r="DR45" i="97"/>
  <c r="DR53" i="97"/>
  <c r="DR61" i="97"/>
  <c r="DQ66" i="97" l="1"/>
  <c r="DR65" i="97"/>
  <c r="D64" i="91" l="1"/>
  <c r="G64" i="91"/>
  <c r="H64" i="91"/>
  <c r="I64" i="91"/>
  <c r="J64" i="91"/>
  <c r="K64" i="91"/>
  <c r="D62" i="80" l="1"/>
  <c r="X64" i="97" s="1"/>
  <c r="D61" i="80"/>
  <c r="X63" i="97" s="1"/>
  <c r="D60" i="80"/>
  <c r="X62" i="97" s="1"/>
  <c r="D59" i="80"/>
  <c r="X61" i="97" s="1"/>
  <c r="D58" i="80"/>
  <c r="X60" i="97" s="1"/>
  <c r="D57" i="80"/>
  <c r="X59" i="97" s="1"/>
  <c r="D56" i="80"/>
  <c r="X58" i="97" s="1"/>
  <c r="D55" i="80"/>
  <c r="X57" i="97" s="1"/>
  <c r="D54" i="80"/>
  <c r="X56" i="97" s="1"/>
  <c r="D53" i="80"/>
  <c r="X55" i="97" s="1"/>
  <c r="D52" i="80"/>
  <c r="X54" i="97" s="1"/>
  <c r="D51" i="80"/>
  <c r="X53" i="97" s="1"/>
  <c r="D50" i="80"/>
  <c r="X52" i="97" s="1"/>
  <c r="D49" i="80"/>
  <c r="X51" i="97" s="1"/>
  <c r="D48" i="80"/>
  <c r="X50" i="97" s="1"/>
  <c r="D47" i="80"/>
  <c r="X49" i="97" s="1"/>
  <c r="D46" i="80"/>
  <c r="X48" i="97" s="1"/>
  <c r="D45" i="80"/>
  <c r="X47" i="97" s="1"/>
  <c r="D44" i="80"/>
  <c r="X46" i="97" s="1"/>
  <c r="D43" i="80"/>
  <c r="X45" i="97" s="1"/>
  <c r="D42" i="80"/>
  <c r="X44" i="97" s="1"/>
  <c r="D41" i="80"/>
  <c r="X43" i="97" s="1"/>
  <c r="D40" i="80"/>
  <c r="X42" i="97" s="1"/>
  <c r="D39" i="80"/>
  <c r="X41" i="97" s="1"/>
  <c r="D38" i="80"/>
  <c r="X40" i="97" s="1"/>
  <c r="D37" i="80"/>
  <c r="X39" i="97" s="1"/>
  <c r="D36" i="80"/>
  <c r="X38" i="97" s="1"/>
  <c r="D35" i="80"/>
  <c r="X37" i="97" s="1"/>
  <c r="D34" i="80"/>
  <c r="X36" i="97" s="1"/>
  <c r="D33" i="80"/>
  <c r="X35" i="97" s="1"/>
  <c r="D32" i="80"/>
  <c r="X34" i="97" s="1"/>
  <c r="D31" i="80"/>
  <c r="X33" i="97" s="1"/>
  <c r="D30" i="80"/>
  <c r="X32" i="97" s="1"/>
  <c r="D29" i="80"/>
  <c r="X31" i="97" s="1"/>
  <c r="D28" i="80"/>
  <c r="X30" i="97" s="1"/>
  <c r="D27" i="80"/>
  <c r="X29" i="97" s="1"/>
  <c r="D26" i="80"/>
  <c r="X28" i="97" s="1"/>
  <c r="D25" i="80"/>
  <c r="X27" i="97" s="1"/>
  <c r="D24" i="80"/>
  <c r="X26" i="97" s="1"/>
  <c r="D23" i="80"/>
  <c r="X25" i="97" s="1"/>
  <c r="D22" i="80"/>
  <c r="X24" i="97" s="1"/>
  <c r="D21" i="80"/>
  <c r="X23" i="97" s="1"/>
  <c r="D20" i="80"/>
  <c r="X22" i="97" s="1"/>
  <c r="D19" i="80"/>
  <c r="X21" i="97" s="1"/>
  <c r="D18" i="80"/>
  <c r="X20" i="97" s="1"/>
  <c r="D17" i="80"/>
  <c r="X19" i="97" s="1"/>
  <c r="D16" i="80"/>
  <c r="X18" i="97" s="1"/>
  <c r="D15" i="80"/>
  <c r="X17" i="97" s="1"/>
  <c r="D14" i="80"/>
  <c r="X16" i="97" s="1"/>
  <c r="D13" i="80"/>
  <c r="X15" i="97" s="1"/>
  <c r="D12" i="80"/>
  <c r="X14" i="97" s="1"/>
  <c r="D11" i="80"/>
  <c r="X13" i="97" s="1"/>
  <c r="D10" i="80"/>
  <c r="X12" i="97" s="1"/>
  <c r="D9" i="80"/>
  <c r="X11" i="97" s="1"/>
  <c r="D8" i="80"/>
  <c r="X10" i="97" s="1"/>
  <c r="D7" i="80"/>
  <c r="X9" i="97" s="1"/>
  <c r="D6" i="80"/>
  <c r="X8" i="97" s="1"/>
  <c r="D5" i="80"/>
  <c r="X7" i="97" s="1"/>
  <c r="CA27" i="97" l="1"/>
  <c r="BG27" i="97"/>
  <c r="BN27" i="97" s="1"/>
  <c r="BO27" i="97" s="1"/>
  <c r="AW27" i="97"/>
  <c r="BD27" i="97" s="1"/>
  <c r="BE27" i="97" s="1"/>
  <c r="CK27" i="97"/>
  <c r="CR27" i="97" s="1"/>
  <c r="CS27" i="97" s="1"/>
  <c r="BQ27" i="97"/>
  <c r="BX27" i="97" s="1"/>
  <c r="BY27" i="97" s="1"/>
  <c r="AK27" i="97"/>
  <c r="AL27" i="97" s="1"/>
  <c r="AM27" i="97" s="1"/>
  <c r="CA59" i="97"/>
  <c r="BG59" i="97"/>
  <c r="BN59" i="97" s="1"/>
  <c r="BO59" i="97" s="1"/>
  <c r="AW59" i="97"/>
  <c r="BD59" i="97" s="1"/>
  <c r="BE59" i="97" s="1"/>
  <c r="CK59" i="97"/>
  <c r="CR59" i="97" s="1"/>
  <c r="CS59" i="97" s="1"/>
  <c r="BQ59" i="97"/>
  <c r="BX59" i="97" s="1"/>
  <c r="BY59" i="97" s="1"/>
  <c r="AK59" i="97"/>
  <c r="AL59" i="97" s="1"/>
  <c r="AM59" i="97" s="1"/>
  <c r="CK18" i="97"/>
  <c r="CR18" i="97" s="1"/>
  <c r="CS18" i="97" s="1"/>
  <c r="BG18" i="97"/>
  <c r="BN18" i="97" s="1"/>
  <c r="BO18" i="97" s="1"/>
  <c r="AW18" i="97"/>
  <c r="BD18" i="97" s="1"/>
  <c r="BE18" i="97" s="1"/>
  <c r="CA18" i="97"/>
  <c r="BQ18" i="97"/>
  <c r="BX18" i="97" s="1"/>
  <c r="BY18" i="97" s="1"/>
  <c r="AK18" i="97"/>
  <c r="AL18" i="97" s="1"/>
  <c r="AM18" i="97" s="1"/>
  <c r="BQ42" i="97"/>
  <c r="BX42" i="97" s="1"/>
  <c r="BY42" i="97" s="1"/>
  <c r="AK42" i="97"/>
  <c r="AL42" i="97" s="1"/>
  <c r="AM42" i="97" s="1"/>
  <c r="CK42" i="97"/>
  <c r="CR42" i="97" s="1"/>
  <c r="CS42" i="97" s="1"/>
  <c r="BG42" i="97"/>
  <c r="BN42" i="97" s="1"/>
  <c r="BO42" i="97" s="1"/>
  <c r="AW42" i="97"/>
  <c r="BD42" i="97" s="1"/>
  <c r="BE42" i="97" s="1"/>
  <c r="CA42" i="97"/>
  <c r="CK9" i="97"/>
  <c r="CR9" i="97" s="1"/>
  <c r="CS9" i="97" s="1"/>
  <c r="BQ9" i="97"/>
  <c r="BX9" i="97" s="1"/>
  <c r="BY9" i="97" s="1"/>
  <c r="AK9" i="97"/>
  <c r="AL9" i="97" s="1"/>
  <c r="AM9" i="97" s="1"/>
  <c r="BG9" i="97"/>
  <c r="BN9" i="97" s="1"/>
  <c r="BO9" i="97" s="1"/>
  <c r="AW9" i="97"/>
  <c r="BD9" i="97" s="1"/>
  <c r="BE9" i="97" s="1"/>
  <c r="CA9" i="97"/>
  <c r="CK25" i="97"/>
  <c r="CR25" i="97" s="1"/>
  <c r="CS25" i="97" s="1"/>
  <c r="BQ25" i="97"/>
  <c r="BX25" i="97" s="1"/>
  <c r="BY25" i="97" s="1"/>
  <c r="AK25" i="97"/>
  <c r="AL25" i="97" s="1"/>
  <c r="AM25" i="97" s="1"/>
  <c r="BG25" i="97"/>
  <c r="BN25" i="97" s="1"/>
  <c r="BO25" i="97" s="1"/>
  <c r="AW25" i="97"/>
  <c r="BD25" i="97" s="1"/>
  <c r="BE25" i="97" s="1"/>
  <c r="CA25" i="97"/>
  <c r="CK33" i="97"/>
  <c r="CR33" i="97" s="1"/>
  <c r="CS33" i="97" s="1"/>
  <c r="BQ33" i="97"/>
  <c r="BX33" i="97" s="1"/>
  <c r="BY33" i="97" s="1"/>
  <c r="AK33" i="97"/>
  <c r="AL33" i="97" s="1"/>
  <c r="AM33" i="97" s="1"/>
  <c r="BG33" i="97"/>
  <c r="BN33" i="97" s="1"/>
  <c r="BO33" i="97" s="1"/>
  <c r="AW33" i="97"/>
  <c r="BD33" i="97" s="1"/>
  <c r="BE33" i="97" s="1"/>
  <c r="CA33" i="97"/>
  <c r="CK41" i="97"/>
  <c r="CR41" i="97" s="1"/>
  <c r="CS41" i="97" s="1"/>
  <c r="BQ41" i="97"/>
  <c r="BX41" i="97" s="1"/>
  <c r="BY41" i="97" s="1"/>
  <c r="AK41" i="97"/>
  <c r="AL41" i="97" s="1"/>
  <c r="AM41" i="97" s="1"/>
  <c r="BG41" i="97"/>
  <c r="BN41" i="97" s="1"/>
  <c r="BO41" i="97" s="1"/>
  <c r="AW41" i="97"/>
  <c r="BD41" i="97" s="1"/>
  <c r="BE41" i="97" s="1"/>
  <c r="CA41" i="97"/>
  <c r="CK49" i="97"/>
  <c r="CR49" i="97" s="1"/>
  <c r="CS49" i="97" s="1"/>
  <c r="BQ49" i="97"/>
  <c r="BX49" i="97" s="1"/>
  <c r="BY49" i="97" s="1"/>
  <c r="AK49" i="97"/>
  <c r="AL49" i="97" s="1"/>
  <c r="AM49" i="97" s="1"/>
  <c r="BG49" i="97"/>
  <c r="BN49" i="97" s="1"/>
  <c r="BO49" i="97" s="1"/>
  <c r="AW49" i="97"/>
  <c r="BD49" i="97" s="1"/>
  <c r="BE49" i="97" s="1"/>
  <c r="CA49" i="97"/>
  <c r="CK57" i="97"/>
  <c r="CR57" i="97" s="1"/>
  <c r="CS57" i="97" s="1"/>
  <c r="BQ57" i="97"/>
  <c r="BX57" i="97" s="1"/>
  <c r="BY57" i="97" s="1"/>
  <c r="AK57" i="97"/>
  <c r="AL57" i="97" s="1"/>
  <c r="AM57" i="97" s="1"/>
  <c r="BG57" i="97"/>
  <c r="BN57" i="97" s="1"/>
  <c r="BO57" i="97" s="1"/>
  <c r="AW57" i="97"/>
  <c r="BD57" i="97" s="1"/>
  <c r="BE57" i="97" s="1"/>
  <c r="CA57" i="97"/>
  <c r="CA11" i="97"/>
  <c r="BG11" i="97"/>
  <c r="BN11" i="97" s="1"/>
  <c r="BO11" i="97" s="1"/>
  <c r="CK11" i="97"/>
  <c r="CR11" i="97" s="1"/>
  <c r="CS11" i="97" s="1"/>
  <c r="BQ11" i="97"/>
  <c r="BX11" i="97" s="1"/>
  <c r="BY11" i="97" s="1"/>
  <c r="AK11" i="97"/>
  <c r="AL11" i="97" s="1"/>
  <c r="AM11" i="97" s="1"/>
  <c r="AW11" i="97"/>
  <c r="BD11" i="97" s="1"/>
  <c r="BE11" i="97" s="1"/>
  <c r="CA35" i="97"/>
  <c r="BG35" i="97"/>
  <c r="BN35" i="97" s="1"/>
  <c r="BO35" i="97" s="1"/>
  <c r="AW35" i="97"/>
  <c r="BD35" i="97" s="1"/>
  <c r="BE35" i="97" s="1"/>
  <c r="CK35" i="97"/>
  <c r="CR35" i="97" s="1"/>
  <c r="CS35" i="97" s="1"/>
  <c r="BQ35" i="97"/>
  <c r="BX35" i="97" s="1"/>
  <c r="BY35" i="97" s="1"/>
  <c r="AK35" i="97"/>
  <c r="AL35" i="97" s="1"/>
  <c r="AM35" i="97" s="1"/>
  <c r="CK10" i="97"/>
  <c r="CR10" i="97" s="1"/>
  <c r="CS10" i="97" s="1"/>
  <c r="BG10" i="97"/>
  <c r="BN10" i="97" s="1"/>
  <c r="BO10" i="97" s="1"/>
  <c r="CA10" i="97"/>
  <c r="AK10" i="97"/>
  <c r="AL10" i="97" s="1"/>
  <c r="AM10" i="97" s="1"/>
  <c r="AW10" i="97"/>
  <c r="BD10" i="97" s="1"/>
  <c r="BE10" i="97" s="1"/>
  <c r="BQ10" i="97"/>
  <c r="BX10" i="97" s="1"/>
  <c r="BY10" i="97" s="1"/>
  <c r="CA58" i="97"/>
  <c r="CK58" i="97"/>
  <c r="CR58" i="97" s="1"/>
  <c r="CS58" i="97" s="1"/>
  <c r="BG58" i="97"/>
  <c r="BN58" i="97" s="1"/>
  <c r="BO58" i="97" s="1"/>
  <c r="BQ58" i="97"/>
  <c r="BX58" i="97" s="1"/>
  <c r="BY58" i="97" s="1"/>
  <c r="AK58" i="97"/>
  <c r="AL58" i="97" s="1"/>
  <c r="AM58" i="97" s="1"/>
  <c r="AW58" i="97"/>
  <c r="BD58" i="97" s="1"/>
  <c r="BE58" i="97" s="1"/>
  <c r="BG8" i="97"/>
  <c r="BN8" i="97" s="1"/>
  <c r="BO8" i="97" s="1"/>
  <c r="AW8" i="97"/>
  <c r="BD8" i="97" s="1"/>
  <c r="BE8" i="97" s="1"/>
  <c r="BQ8" i="97"/>
  <c r="BX8" i="97" s="1"/>
  <c r="BY8" i="97" s="1"/>
  <c r="AK8" i="97"/>
  <c r="AL8" i="97" s="1"/>
  <c r="AM8" i="97" s="1"/>
  <c r="CA8" i="97"/>
  <c r="CK8" i="97"/>
  <c r="CR8" i="97" s="1"/>
  <c r="CS8" i="97" s="1"/>
  <c r="BG32" i="97"/>
  <c r="BN32" i="97" s="1"/>
  <c r="BO32" i="97" s="1"/>
  <c r="AW32" i="97"/>
  <c r="BD32" i="97" s="1"/>
  <c r="BE32" i="97" s="1"/>
  <c r="BQ32" i="97"/>
  <c r="BX32" i="97" s="1"/>
  <c r="BY32" i="97" s="1"/>
  <c r="AK32" i="97"/>
  <c r="AL32" i="97" s="1"/>
  <c r="AM32" i="97" s="1"/>
  <c r="CK32" i="97"/>
  <c r="CR32" i="97" s="1"/>
  <c r="CS32" i="97" s="1"/>
  <c r="CA32" i="97"/>
  <c r="BQ64" i="97"/>
  <c r="BX64" i="97" s="1"/>
  <c r="BY64" i="97" s="1"/>
  <c r="AK64" i="97"/>
  <c r="AL64" i="97" s="1"/>
  <c r="AM64" i="97" s="1"/>
  <c r="BG64" i="97"/>
  <c r="BN64" i="97" s="1"/>
  <c r="BO64" i="97" s="1"/>
  <c r="AW64" i="97"/>
  <c r="BD64" i="97" s="1"/>
  <c r="BE64" i="97" s="1"/>
  <c r="CA64" i="97"/>
  <c r="CK64" i="97"/>
  <c r="CR64" i="97" s="1"/>
  <c r="CS64" i="97" s="1"/>
  <c r="BG23" i="97"/>
  <c r="BN23" i="97" s="1"/>
  <c r="BO23" i="97" s="1"/>
  <c r="AW23" i="97"/>
  <c r="BD23" i="97" s="1"/>
  <c r="BE23" i="97" s="1"/>
  <c r="CA23" i="97"/>
  <c r="BQ23" i="97"/>
  <c r="BX23" i="97" s="1"/>
  <c r="BY23" i="97" s="1"/>
  <c r="AK23" i="97"/>
  <c r="AL23" i="97" s="1"/>
  <c r="AM23" i="97" s="1"/>
  <c r="CK23" i="97"/>
  <c r="CR23" i="97" s="1"/>
  <c r="CS23" i="97" s="1"/>
  <c r="CA55" i="97"/>
  <c r="BG55" i="97"/>
  <c r="BN55" i="97" s="1"/>
  <c r="BO55" i="97" s="1"/>
  <c r="BQ55" i="97"/>
  <c r="BX55" i="97" s="1"/>
  <c r="BY55" i="97" s="1"/>
  <c r="AK55" i="97"/>
  <c r="AL55" i="97" s="1"/>
  <c r="AM55" i="97" s="1"/>
  <c r="AW55" i="97"/>
  <c r="BD55" i="97" s="1"/>
  <c r="BE55" i="97" s="1"/>
  <c r="CK55" i="97"/>
  <c r="CR55" i="97" s="1"/>
  <c r="CS55" i="97" s="1"/>
  <c r="AW14" i="97"/>
  <c r="BD14" i="97" s="1"/>
  <c r="BE14" i="97" s="1"/>
  <c r="CA14" i="97"/>
  <c r="BQ14" i="97"/>
  <c r="BX14" i="97" s="1"/>
  <c r="BY14" i="97" s="1"/>
  <c r="AK14" i="97"/>
  <c r="AL14" i="97" s="1"/>
  <c r="AM14" i="97" s="1"/>
  <c r="CK14" i="97"/>
  <c r="CR14" i="97" s="1"/>
  <c r="CS14" i="97" s="1"/>
  <c r="BG14" i="97"/>
  <c r="BN14" i="97" s="1"/>
  <c r="BO14" i="97" s="1"/>
  <c r="BQ22" i="97"/>
  <c r="BX22" i="97" s="1"/>
  <c r="BY22" i="97" s="1"/>
  <c r="AK22" i="97"/>
  <c r="AL22" i="97" s="1"/>
  <c r="AM22" i="97" s="1"/>
  <c r="CA22" i="97"/>
  <c r="AW22" i="97"/>
  <c r="BD22" i="97" s="1"/>
  <c r="BE22" i="97" s="1"/>
  <c r="CK22" i="97"/>
  <c r="CR22" i="97" s="1"/>
  <c r="CS22" i="97" s="1"/>
  <c r="BG22" i="97"/>
  <c r="BN22" i="97" s="1"/>
  <c r="BO22" i="97" s="1"/>
  <c r="AK30" i="97"/>
  <c r="AL30" i="97" s="1"/>
  <c r="AM30" i="97" s="1"/>
  <c r="AW30" i="97"/>
  <c r="BD30" i="97" s="1"/>
  <c r="BE30" i="97" s="1"/>
  <c r="CA30" i="97"/>
  <c r="BQ30" i="97"/>
  <c r="BX30" i="97" s="1"/>
  <c r="BY30" i="97" s="1"/>
  <c r="CK30" i="97"/>
  <c r="CR30" i="97" s="1"/>
  <c r="CS30" i="97" s="1"/>
  <c r="BG30" i="97"/>
  <c r="BN30" i="97" s="1"/>
  <c r="BO30" i="97" s="1"/>
  <c r="CA38" i="97"/>
  <c r="BQ38" i="97"/>
  <c r="BX38" i="97" s="1"/>
  <c r="BY38" i="97" s="1"/>
  <c r="AW38" i="97"/>
  <c r="BD38" i="97" s="1"/>
  <c r="BE38" i="97" s="1"/>
  <c r="AK38" i="97"/>
  <c r="AL38" i="97" s="1"/>
  <c r="AM38" i="97" s="1"/>
  <c r="CK38" i="97"/>
  <c r="CR38" i="97" s="1"/>
  <c r="CS38" i="97" s="1"/>
  <c r="BG38" i="97"/>
  <c r="BN38" i="97" s="1"/>
  <c r="BO38" i="97" s="1"/>
  <c r="BQ46" i="97"/>
  <c r="BX46" i="97" s="1"/>
  <c r="BY46" i="97" s="1"/>
  <c r="AK46" i="97"/>
  <c r="AL46" i="97" s="1"/>
  <c r="AM46" i="97" s="1"/>
  <c r="CA46" i="97"/>
  <c r="AW46" i="97"/>
  <c r="BD46" i="97" s="1"/>
  <c r="BE46" i="97" s="1"/>
  <c r="CK46" i="97"/>
  <c r="CR46" i="97" s="1"/>
  <c r="CS46" i="97" s="1"/>
  <c r="BG46" i="97"/>
  <c r="BN46" i="97" s="1"/>
  <c r="BO46" i="97" s="1"/>
  <c r="AK54" i="97"/>
  <c r="AL54" i="97" s="1"/>
  <c r="AM54" i="97" s="1"/>
  <c r="AW54" i="97"/>
  <c r="BD54" i="97" s="1"/>
  <c r="BE54" i="97" s="1"/>
  <c r="CA54" i="97"/>
  <c r="BQ54" i="97"/>
  <c r="BX54" i="97" s="1"/>
  <c r="BY54" i="97" s="1"/>
  <c r="CK54" i="97"/>
  <c r="CR54" i="97" s="1"/>
  <c r="CS54" i="97" s="1"/>
  <c r="BG54" i="97"/>
  <c r="BN54" i="97" s="1"/>
  <c r="BO54" i="97" s="1"/>
  <c r="CA62" i="97"/>
  <c r="BQ62" i="97"/>
  <c r="BX62" i="97" s="1"/>
  <c r="BY62" i="97" s="1"/>
  <c r="AW62" i="97"/>
  <c r="BD62" i="97" s="1"/>
  <c r="BE62" i="97" s="1"/>
  <c r="AK62" i="97"/>
  <c r="AL62" i="97" s="1"/>
  <c r="AM62" i="97" s="1"/>
  <c r="CK62" i="97"/>
  <c r="CR62" i="97" s="1"/>
  <c r="CS62" i="97" s="1"/>
  <c r="BG62" i="97"/>
  <c r="BN62" i="97" s="1"/>
  <c r="BO62" i="97" s="1"/>
  <c r="CA51" i="97"/>
  <c r="BG51" i="97"/>
  <c r="BN51" i="97" s="1"/>
  <c r="BO51" i="97" s="1"/>
  <c r="CK51" i="97"/>
  <c r="CR51" i="97" s="1"/>
  <c r="CS51" i="97" s="1"/>
  <c r="AW51" i="97"/>
  <c r="BD51" i="97" s="1"/>
  <c r="BE51" i="97" s="1"/>
  <c r="BQ51" i="97"/>
  <c r="BX51" i="97" s="1"/>
  <c r="BY51" i="97" s="1"/>
  <c r="AK51" i="97"/>
  <c r="AL51" i="97" s="1"/>
  <c r="AM51" i="97" s="1"/>
  <c r="CK26" i="97"/>
  <c r="CR26" i="97" s="1"/>
  <c r="CS26" i="97" s="1"/>
  <c r="BG26" i="97"/>
  <c r="BN26" i="97" s="1"/>
  <c r="BO26" i="97" s="1"/>
  <c r="BQ26" i="97"/>
  <c r="BX26" i="97" s="1"/>
  <c r="BY26" i="97" s="1"/>
  <c r="AK26" i="97"/>
  <c r="AL26" i="97" s="1"/>
  <c r="AM26" i="97" s="1"/>
  <c r="CA26" i="97"/>
  <c r="AW26" i="97"/>
  <c r="BD26" i="97" s="1"/>
  <c r="BE26" i="97" s="1"/>
  <c r="CK50" i="97"/>
  <c r="CR50" i="97" s="1"/>
  <c r="CS50" i="97" s="1"/>
  <c r="BG50" i="97"/>
  <c r="BN50" i="97" s="1"/>
  <c r="BO50" i="97" s="1"/>
  <c r="CA50" i="97"/>
  <c r="BQ50" i="97"/>
  <c r="BX50" i="97" s="1"/>
  <c r="BY50" i="97" s="1"/>
  <c r="AW50" i="97"/>
  <c r="BD50" i="97" s="1"/>
  <c r="BE50" i="97" s="1"/>
  <c r="AK50" i="97"/>
  <c r="AL50" i="97" s="1"/>
  <c r="AM50" i="97" s="1"/>
  <c r="CK17" i="97"/>
  <c r="CR17" i="97" s="1"/>
  <c r="CS17" i="97" s="1"/>
  <c r="BQ17" i="97"/>
  <c r="BX17" i="97" s="1"/>
  <c r="BY17" i="97" s="1"/>
  <c r="AK17" i="97"/>
  <c r="AL17" i="97" s="1"/>
  <c r="AM17" i="97" s="1"/>
  <c r="BG17" i="97"/>
  <c r="BN17" i="97" s="1"/>
  <c r="BO17" i="97" s="1"/>
  <c r="AW17" i="97"/>
  <c r="BD17" i="97" s="1"/>
  <c r="BE17" i="97" s="1"/>
  <c r="CA17" i="97"/>
  <c r="BQ24" i="97"/>
  <c r="BX24" i="97" s="1"/>
  <c r="BY24" i="97" s="1"/>
  <c r="AK24" i="97"/>
  <c r="AL24" i="97" s="1"/>
  <c r="AM24" i="97" s="1"/>
  <c r="AW24" i="97"/>
  <c r="BD24" i="97" s="1"/>
  <c r="BE24" i="97" s="1"/>
  <c r="BG24" i="97"/>
  <c r="BN24" i="97" s="1"/>
  <c r="BO24" i="97" s="1"/>
  <c r="CA24" i="97"/>
  <c r="CK24" i="97"/>
  <c r="CR24" i="97" s="1"/>
  <c r="CS24" i="97" s="1"/>
  <c r="BQ48" i="97"/>
  <c r="BX48" i="97" s="1"/>
  <c r="BY48" i="97" s="1"/>
  <c r="AK48" i="97"/>
  <c r="AL48" i="97" s="1"/>
  <c r="AM48" i="97" s="1"/>
  <c r="AW48" i="97"/>
  <c r="BD48" i="97" s="1"/>
  <c r="BE48" i="97" s="1"/>
  <c r="BG48" i="97"/>
  <c r="BN48" i="97" s="1"/>
  <c r="BO48" i="97" s="1"/>
  <c r="CK48" i="97"/>
  <c r="CR48" i="97" s="1"/>
  <c r="CS48" i="97" s="1"/>
  <c r="CA48" i="97"/>
  <c r="BQ7" i="97"/>
  <c r="BX7" i="97" s="1"/>
  <c r="BY7" i="97" s="1"/>
  <c r="AK7" i="97"/>
  <c r="AL7" i="97" s="1"/>
  <c r="AM7" i="97" s="1"/>
  <c r="CA7" i="97"/>
  <c r="BG7" i="97"/>
  <c r="BN7" i="97" s="1"/>
  <c r="BO7" i="97" s="1"/>
  <c r="AW7" i="97"/>
  <c r="BD7" i="97" s="1"/>
  <c r="BE7" i="97" s="1"/>
  <c r="CK7" i="97"/>
  <c r="CR7" i="97" s="1"/>
  <c r="CS7" i="97" s="1"/>
  <c r="CA31" i="97"/>
  <c r="BG31" i="97"/>
  <c r="BN31" i="97" s="1"/>
  <c r="BO31" i="97" s="1"/>
  <c r="BQ31" i="97"/>
  <c r="BX31" i="97" s="1"/>
  <c r="BY31" i="97" s="1"/>
  <c r="AK31" i="97"/>
  <c r="AL31" i="97" s="1"/>
  <c r="AM31" i="97" s="1"/>
  <c r="AW31" i="97"/>
  <c r="BD31" i="97" s="1"/>
  <c r="BE31" i="97" s="1"/>
  <c r="CK31" i="97"/>
  <c r="CR31" i="97" s="1"/>
  <c r="CS31" i="97" s="1"/>
  <c r="CA47" i="97"/>
  <c r="BG47" i="97"/>
  <c r="BN47" i="97" s="1"/>
  <c r="BO47" i="97" s="1"/>
  <c r="AW47" i="97"/>
  <c r="BD47" i="97" s="1"/>
  <c r="BE47" i="97" s="1"/>
  <c r="BQ47" i="97"/>
  <c r="BX47" i="97" s="1"/>
  <c r="BY47" i="97" s="1"/>
  <c r="AK47" i="97"/>
  <c r="AL47" i="97" s="1"/>
  <c r="AM47" i="97" s="1"/>
  <c r="CK47" i="97"/>
  <c r="CR47" i="97" s="1"/>
  <c r="CS47" i="97" s="1"/>
  <c r="BQ13" i="97"/>
  <c r="BX13" i="97" s="1"/>
  <c r="BY13" i="97" s="1"/>
  <c r="AK13" i="97"/>
  <c r="AL13" i="97" s="1"/>
  <c r="AM13" i="97" s="1"/>
  <c r="AW13" i="97"/>
  <c r="BD13" i="97" s="1"/>
  <c r="BE13" i="97" s="1"/>
  <c r="CA13" i="97"/>
  <c r="CK13" i="97"/>
  <c r="CR13" i="97" s="1"/>
  <c r="CS13" i="97" s="1"/>
  <c r="BG13" i="97"/>
  <c r="BN13" i="97" s="1"/>
  <c r="BO13" i="97" s="1"/>
  <c r="CK21" i="97"/>
  <c r="CR21" i="97" s="1"/>
  <c r="CS21" i="97" s="1"/>
  <c r="AW21" i="97"/>
  <c r="BD21" i="97" s="1"/>
  <c r="BE21" i="97" s="1"/>
  <c r="BQ21" i="97"/>
  <c r="BX21" i="97" s="1"/>
  <c r="BY21" i="97" s="1"/>
  <c r="CA21" i="97"/>
  <c r="AK21" i="97"/>
  <c r="AL21" i="97" s="1"/>
  <c r="AM21" i="97" s="1"/>
  <c r="BG21" i="97"/>
  <c r="BN21" i="97" s="1"/>
  <c r="BO21" i="97" s="1"/>
  <c r="BQ29" i="97"/>
  <c r="BX29" i="97" s="1"/>
  <c r="BY29" i="97" s="1"/>
  <c r="AW29" i="97"/>
  <c r="BD29" i="97" s="1"/>
  <c r="BE29" i="97" s="1"/>
  <c r="AK29" i="97"/>
  <c r="AL29" i="97" s="1"/>
  <c r="AM29" i="97" s="1"/>
  <c r="CA29" i="97"/>
  <c r="CK29" i="97"/>
  <c r="CR29" i="97" s="1"/>
  <c r="CS29" i="97" s="1"/>
  <c r="BG29" i="97"/>
  <c r="BN29" i="97" s="1"/>
  <c r="BO29" i="97" s="1"/>
  <c r="AK37" i="97"/>
  <c r="AL37" i="97" s="1"/>
  <c r="AM37" i="97" s="1"/>
  <c r="AW37" i="97"/>
  <c r="BD37" i="97" s="1"/>
  <c r="BE37" i="97" s="1"/>
  <c r="BQ37" i="97"/>
  <c r="BX37" i="97" s="1"/>
  <c r="BY37" i="97" s="1"/>
  <c r="CA37" i="97"/>
  <c r="CK37" i="97"/>
  <c r="CR37" i="97" s="1"/>
  <c r="CS37" i="97" s="1"/>
  <c r="BG37" i="97"/>
  <c r="BN37" i="97" s="1"/>
  <c r="BO37" i="97" s="1"/>
  <c r="AW45" i="97"/>
  <c r="BD45" i="97" s="1"/>
  <c r="BE45" i="97" s="1"/>
  <c r="CK45" i="97"/>
  <c r="CR45" i="97" s="1"/>
  <c r="CS45" i="97" s="1"/>
  <c r="CA45" i="97"/>
  <c r="BQ45" i="97"/>
  <c r="BX45" i="97" s="1"/>
  <c r="BY45" i="97" s="1"/>
  <c r="AK45" i="97"/>
  <c r="AL45" i="97" s="1"/>
  <c r="AM45" i="97" s="1"/>
  <c r="BG45" i="97"/>
  <c r="BN45" i="97" s="1"/>
  <c r="BO45" i="97" s="1"/>
  <c r="CK53" i="97"/>
  <c r="CR53" i="97" s="1"/>
  <c r="CS53" i="97" s="1"/>
  <c r="BQ53" i="97"/>
  <c r="BX53" i="97" s="1"/>
  <c r="BY53" i="97" s="1"/>
  <c r="AW53" i="97"/>
  <c r="BD53" i="97" s="1"/>
  <c r="BE53" i="97" s="1"/>
  <c r="AK53" i="97"/>
  <c r="AL53" i="97" s="1"/>
  <c r="AM53" i="97" s="1"/>
  <c r="CA53" i="97"/>
  <c r="BG53" i="97"/>
  <c r="BN53" i="97" s="1"/>
  <c r="BO53" i="97" s="1"/>
  <c r="AK61" i="97"/>
  <c r="AL61" i="97" s="1"/>
  <c r="AM61" i="97" s="1"/>
  <c r="AW61" i="97"/>
  <c r="BD61" i="97" s="1"/>
  <c r="BE61" i="97" s="1"/>
  <c r="BQ61" i="97"/>
  <c r="BX61" i="97" s="1"/>
  <c r="BY61" i="97" s="1"/>
  <c r="CA61" i="97"/>
  <c r="CK61" i="97"/>
  <c r="CR61" i="97" s="1"/>
  <c r="CS61" i="97" s="1"/>
  <c r="BG61" i="97"/>
  <c r="BN61" i="97" s="1"/>
  <c r="BO61" i="97" s="1"/>
  <c r="CA19" i="97"/>
  <c r="BG19" i="97"/>
  <c r="BN19" i="97" s="1"/>
  <c r="BO19" i="97" s="1"/>
  <c r="AW19" i="97"/>
  <c r="BD19" i="97" s="1"/>
  <c r="BE19" i="97" s="1"/>
  <c r="CK19" i="97"/>
  <c r="CR19" i="97" s="1"/>
  <c r="CS19" i="97" s="1"/>
  <c r="BQ19" i="97"/>
  <c r="BX19" i="97" s="1"/>
  <c r="BY19" i="97" s="1"/>
  <c r="AK19" i="97"/>
  <c r="AL19" i="97" s="1"/>
  <c r="AM19" i="97" s="1"/>
  <c r="CA43" i="97"/>
  <c r="BG43" i="97"/>
  <c r="BN43" i="97" s="1"/>
  <c r="BO43" i="97" s="1"/>
  <c r="CK43" i="97"/>
  <c r="CR43" i="97" s="1"/>
  <c r="CS43" i="97" s="1"/>
  <c r="BQ43" i="97"/>
  <c r="BX43" i="97" s="1"/>
  <c r="BY43" i="97" s="1"/>
  <c r="AK43" i="97"/>
  <c r="AL43" i="97" s="1"/>
  <c r="AM43" i="97" s="1"/>
  <c r="AW43" i="97"/>
  <c r="BD43" i="97" s="1"/>
  <c r="BE43" i="97" s="1"/>
  <c r="CK34" i="97"/>
  <c r="CR34" i="97" s="1"/>
  <c r="CS34" i="97" s="1"/>
  <c r="BG34" i="97"/>
  <c r="BN34" i="97" s="1"/>
  <c r="BO34" i="97" s="1"/>
  <c r="CA34" i="97"/>
  <c r="AK34" i="97"/>
  <c r="AL34" i="97" s="1"/>
  <c r="AM34" i="97" s="1"/>
  <c r="AW34" i="97"/>
  <c r="BD34" i="97" s="1"/>
  <c r="BE34" i="97" s="1"/>
  <c r="BQ34" i="97"/>
  <c r="BX34" i="97" s="1"/>
  <c r="BY34" i="97" s="1"/>
  <c r="BQ16" i="97"/>
  <c r="BX16" i="97" s="1"/>
  <c r="BY16" i="97" s="1"/>
  <c r="AK16" i="97"/>
  <c r="AL16" i="97" s="1"/>
  <c r="AM16" i="97" s="1"/>
  <c r="BG16" i="97"/>
  <c r="BN16" i="97" s="1"/>
  <c r="BO16" i="97" s="1"/>
  <c r="AW16" i="97"/>
  <c r="BD16" i="97" s="1"/>
  <c r="BE16" i="97" s="1"/>
  <c r="CK16" i="97"/>
  <c r="CR16" i="97" s="1"/>
  <c r="CS16" i="97" s="1"/>
  <c r="CA16" i="97"/>
  <c r="BQ40" i="97"/>
  <c r="BX40" i="97" s="1"/>
  <c r="BY40" i="97" s="1"/>
  <c r="AK40" i="97"/>
  <c r="AL40" i="97" s="1"/>
  <c r="AM40" i="97" s="1"/>
  <c r="BG40" i="97"/>
  <c r="BN40" i="97" s="1"/>
  <c r="BO40" i="97" s="1"/>
  <c r="AW40" i="97"/>
  <c r="BD40" i="97" s="1"/>
  <c r="BE40" i="97" s="1"/>
  <c r="CA40" i="97"/>
  <c r="CK40" i="97"/>
  <c r="CR40" i="97" s="1"/>
  <c r="CS40" i="97" s="1"/>
  <c r="BG56" i="97"/>
  <c r="BN56" i="97" s="1"/>
  <c r="BO56" i="97" s="1"/>
  <c r="AW56" i="97"/>
  <c r="BD56" i="97" s="1"/>
  <c r="BE56" i="97" s="1"/>
  <c r="BQ56" i="97"/>
  <c r="BX56" i="97" s="1"/>
  <c r="BY56" i="97" s="1"/>
  <c r="AK56" i="97"/>
  <c r="AL56" i="97" s="1"/>
  <c r="AM56" i="97" s="1"/>
  <c r="CK56" i="97"/>
  <c r="CR56" i="97" s="1"/>
  <c r="CS56" i="97" s="1"/>
  <c r="CA56" i="97"/>
  <c r="AW15" i="97"/>
  <c r="BD15" i="97" s="1"/>
  <c r="BE15" i="97" s="1"/>
  <c r="CA15" i="97"/>
  <c r="BQ15" i="97"/>
  <c r="BX15" i="97" s="1"/>
  <c r="BY15" i="97" s="1"/>
  <c r="AK15" i="97"/>
  <c r="AL15" i="97" s="1"/>
  <c r="AM15" i="97" s="1"/>
  <c r="BG15" i="97"/>
  <c r="BN15" i="97" s="1"/>
  <c r="BO15" i="97" s="1"/>
  <c r="CK15" i="97"/>
  <c r="CR15" i="97" s="1"/>
  <c r="CS15" i="97" s="1"/>
  <c r="AW39" i="97"/>
  <c r="BD39" i="97" s="1"/>
  <c r="BE39" i="97" s="1"/>
  <c r="BQ39" i="97"/>
  <c r="BX39" i="97" s="1"/>
  <c r="BY39" i="97" s="1"/>
  <c r="AK39" i="97"/>
  <c r="AL39" i="97" s="1"/>
  <c r="AM39" i="97" s="1"/>
  <c r="CA39" i="97"/>
  <c r="BG39" i="97"/>
  <c r="BN39" i="97" s="1"/>
  <c r="BO39" i="97" s="1"/>
  <c r="CK39" i="97"/>
  <c r="CR39" i="97" s="1"/>
  <c r="CS39" i="97" s="1"/>
  <c r="AW63" i="97"/>
  <c r="BD63" i="97" s="1"/>
  <c r="BE63" i="97" s="1"/>
  <c r="BQ63" i="97"/>
  <c r="BX63" i="97" s="1"/>
  <c r="BY63" i="97" s="1"/>
  <c r="AK63" i="97"/>
  <c r="AL63" i="97" s="1"/>
  <c r="AM63" i="97" s="1"/>
  <c r="CA63" i="97"/>
  <c r="BG63" i="97"/>
  <c r="BN63" i="97" s="1"/>
  <c r="BO63" i="97" s="1"/>
  <c r="CK63" i="97"/>
  <c r="CR63" i="97" s="1"/>
  <c r="CS63" i="97" s="1"/>
  <c r="AW12" i="97"/>
  <c r="BD12" i="97" s="1"/>
  <c r="BE12" i="97" s="1"/>
  <c r="CA12" i="97"/>
  <c r="CK12" i="97"/>
  <c r="CR12" i="97" s="1"/>
  <c r="CS12" i="97" s="1"/>
  <c r="BQ12" i="97"/>
  <c r="BX12" i="97" s="1"/>
  <c r="BY12" i="97" s="1"/>
  <c r="AK12" i="97"/>
  <c r="AL12" i="97" s="1"/>
  <c r="AM12" i="97" s="1"/>
  <c r="BG12" i="97"/>
  <c r="BN12" i="97" s="1"/>
  <c r="BO12" i="97" s="1"/>
  <c r="AW20" i="97"/>
  <c r="BD20" i="97" s="1"/>
  <c r="BE20" i="97" s="1"/>
  <c r="CA20" i="97"/>
  <c r="BG20" i="97"/>
  <c r="BN20" i="97" s="1"/>
  <c r="BO20" i="97" s="1"/>
  <c r="CK20" i="97"/>
  <c r="CR20" i="97" s="1"/>
  <c r="CS20" i="97" s="1"/>
  <c r="BQ20" i="97"/>
  <c r="BX20" i="97" s="1"/>
  <c r="BY20" i="97" s="1"/>
  <c r="AK20" i="97"/>
  <c r="AL20" i="97" s="1"/>
  <c r="AM20" i="97" s="1"/>
  <c r="AW28" i="97"/>
  <c r="BD28" i="97" s="1"/>
  <c r="BE28" i="97" s="1"/>
  <c r="CA28" i="97"/>
  <c r="CK28" i="97"/>
  <c r="CR28" i="97" s="1"/>
  <c r="CS28" i="97" s="1"/>
  <c r="BG28" i="97"/>
  <c r="BN28" i="97" s="1"/>
  <c r="BO28" i="97" s="1"/>
  <c r="BQ28" i="97"/>
  <c r="BX28" i="97" s="1"/>
  <c r="BY28" i="97" s="1"/>
  <c r="AK28" i="97"/>
  <c r="AL28" i="97" s="1"/>
  <c r="AM28" i="97" s="1"/>
  <c r="AW36" i="97"/>
  <c r="BD36" i="97" s="1"/>
  <c r="BE36" i="97" s="1"/>
  <c r="CA36" i="97"/>
  <c r="CK36" i="97"/>
  <c r="CR36" i="97" s="1"/>
  <c r="CS36" i="97" s="1"/>
  <c r="BQ36" i="97"/>
  <c r="BX36" i="97" s="1"/>
  <c r="BY36" i="97" s="1"/>
  <c r="AK36" i="97"/>
  <c r="AL36" i="97" s="1"/>
  <c r="AM36" i="97" s="1"/>
  <c r="BG36" i="97"/>
  <c r="BN36" i="97" s="1"/>
  <c r="BO36" i="97" s="1"/>
  <c r="AW44" i="97"/>
  <c r="BD44" i="97" s="1"/>
  <c r="BE44" i="97" s="1"/>
  <c r="CK44" i="97"/>
  <c r="CR44" i="97" s="1"/>
  <c r="CS44" i="97" s="1"/>
  <c r="CA44" i="97"/>
  <c r="BG44" i="97"/>
  <c r="BN44" i="97" s="1"/>
  <c r="BO44" i="97" s="1"/>
  <c r="BQ44" i="97"/>
  <c r="BX44" i="97" s="1"/>
  <c r="BY44" i="97" s="1"/>
  <c r="AK44" i="97"/>
  <c r="AL44" i="97" s="1"/>
  <c r="AM44" i="97" s="1"/>
  <c r="AW52" i="97"/>
  <c r="BD52" i="97" s="1"/>
  <c r="BE52" i="97" s="1"/>
  <c r="BG52" i="97"/>
  <c r="BN52" i="97" s="1"/>
  <c r="BO52" i="97" s="1"/>
  <c r="CA52" i="97"/>
  <c r="CK52" i="97"/>
  <c r="CR52" i="97" s="1"/>
  <c r="CS52" i="97" s="1"/>
  <c r="BQ52" i="97"/>
  <c r="BX52" i="97" s="1"/>
  <c r="BY52" i="97" s="1"/>
  <c r="AK52" i="97"/>
  <c r="AL52" i="97" s="1"/>
  <c r="AM52" i="97" s="1"/>
  <c r="AW60" i="97"/>
  <c r="BD60" i="97" s="1"/>
  <c r="BE60" i="97" s="1"/>
  <c r="CA60" i="97"/>
  <c r="CK60" i="97"/>
  <c r="CR60" i="97" s="1"/>
  <c r="CS60" i="97" s="1"/>
  <c r="BG60" i="97"/>
  <c r="BN60" i="97" s="1"/>
  <c r="BO60" i="97" s="1"/>
  <c r="BQ60" i="97"/>
  <c r="BX60" i="97" s="1"/>
  <c r="BY60" i="97" s="1"/>
  <c r="AK60" i="97"/>
  <c r="AL60" i="97" s="1"/>
  <c r="AM60" i="97" s="1"/>
  <c r="D64" i="80"/>
  <c r="D66" i="80" l="1"/>
  <c r="X65" i="97"/>
  <c r="BC83" i="97" a="1"/>
  <c r="BC83" i="97" s="1"/>
  <c r="CN82" i="97"/>
  <c r="CN84" i="97"/>
  <c r="CM84" i="97"/>
  <c r="CM82" i="97"/>
  <c r="BJ82" i="97"/>
  <c r="BJ84" i="97"/>
  <c r="BU82" i="97"/>
  <c r="BU84" i="97"/>
  <c r="BW84" i="97"/>
  <c r="BV83" i="97" a="1"/>
  <c r="BV83" i="97" s="1"/>
  <c r="BV84" i="97"/>
  <c r="BT83" i="97" a="1"/>
  <c r="BT83" i="97" s="1"/>
  <c r="BV82" i="97"/>
  <c r="BU83" i="97" a="1"/>
  <c r="BU83" i="97" s="1"/>
  <c r="BW82" i="97"/>
  <c r="BS83" i="97" a="1"/>
  <c r="BS83" i="97" s="1"/>
  <c r="BW83" i="97"/>
  <c r="BL82" i="97"/>
  <c r="BL83" i="97" a="1"/>
  <c r="BL83" i="97" s="1"/>
  <c r="BM82" i="97"/>
  <c r="BL84" i="97"/>
  <c r="BK83" i="97" a="1"/>
  <c r="BK83" i="97" s="1"/>
  <c r="BM84" i="97"/>
  <c r="BI83" i="97" a="1"/>
  <c r="BI83" i="97" s="1"/>
  <c r="BM83" i="97"/>
  <c r="BJ83" i="97" a="1"/>
  <c r="BJ83" i="97" s="1"/>
  <c r="BI84" i="97"/>
  <c r="BI82" i="97"/>
  <c r="AZ82" i="97"/>
  <c r="AZ84" i="97"/>
  <c r="AK65" i="97"/>
  <c r="AL65" i="97" s="1"/>
  <c r="AM65" i="97" s="1"/>
  <c r="AC65" i="97"/>
  <c r="AW65" i="97"/>
  <c r="CO83" i="97" a="1"/>
  <c r="CO83" i="97" s="1"/>
  <c r="CP83" i="97" a="1"/>
  <c r="CP83" i="97" s="1"/>
  <c r="CP82" i="97"/>
  <c r="CQ84" i="97"/>
  <c r="CQ82" i="97"/>
  <c r="CM83" i="97" a="1"/>
  <c r="CM83" i="97" s="1"/>
  <c r="CQ83" i="97"/>
  <c r="CP84" i="97"/>
  <c r="CN83" i="97" a="1"/>
  <c r="CN83" i="97" s="1"/>
  <c r="AY84" i="97"/>
  <c r="AY82" i="97"/>
  <c r="BT82" i="97"/>
  <c r="BT84" i="97"/>
  <c r="CO82" i="97"/>
  <c r="CO84" i="97"/>
  <c r="BS82" i="97"/>
  <c r="BS84" i="97"/>
  <c r="BA82" i="97"/>
  <c r="BA84" i="97"/>
  <c r="BB84" i="97"/>
  <c r="BC82" i="97"/>
  <c r="BC84" i="97"/>
  <c r="BB82" i="97"/>
  <c r="BA83" i="97" a="1"/>
  <c r="BA83" i="97" s="1"/>
  <c r="AY83" i="97" a="1"/>
  <c r="AY83" i="97" s="1"/>
  <c r="AZ83" i="97" a="1"/>
  <c r="AZ83" i="97" s="1"/>
  <c r="BB83" i="97" a="1"/>
  <c r="BB83" i="97" s="1"/>
  <c r="BK84" i="97"/>
  <c r="BK82" i="97"/>
  <c r="E45" i="74"/>
  <c r="E46" i="74"/>
  <c r="E47" i="74"/>
  <c r="E44" i="74"/>
  <c r="C45" i="74"/>
  <c r="F45" i="74" s="1"/>
  <c r="G45" i="74" s="1"/>
  <c r="C46" i="74"/>
  <c r="F46" i="74" s="1"/>
  <c r="G46" i="74" s="1"/>
  <c r="C47" i="74"/>
  <c r="F47" i="74" s="1"/>
  <c r="G47" i="74" s="1"/>
  <c r="G48" i="74" s="1"/>
  <c r="C44" i="74"/>
  <c r="F44" i="74" s="1"/>
  <c r="G44" i="74" s="1"/>
  <c r="B15" i="74"/>
  <c r="G18" i="74" s="1"/>
  <c r="AG65" i="97" l="1"/>
  <c r="AH65" i="97" s="1"/>
  <c r="AF65" i="97"/>
  <c r="G10" i="74"/>
  <c r="AC7" i="97" l="1"/>
  <c r="AG7" i="97" s="1"/>
  <c r="AC44" i="97"/>
  <c r="AC50" i="97"/>
  <c r="AC8" i="97"/>
  <c r="AC52" i="97"/>
  <c r="AC10" i="97"/>
  <c r="AC40" i="97"/>
  <c r="AC26" i="97"/>
  <c r="AC12" i="97"/>
  <c r="AC36" i="97"/>
  <c r="AC38" i="97"/>
  <c r="AC18" i="97"/>
  <c r="AC58" i="97"/>
  <c r="AC22" i="97"/>
  <c r="AC60" i="97"/>
  <c r="AC24" i="97"/>
  <c r="AC54" i="97"/>
  <c r="AC56" i="97"/>
  <c r="AC42" i="97"/>
  <c r="AC34" i="97"/>
  <c r="AC28" i="97"/>
  <c r="AC20" i="97"/>
  <c r="AC64" i="97"/>
  <c r="AC27" i="97"/>
  <c r="AC55" i="97"/>
  <c r="AC39" i="97"/>
  <c r="AC23" i="97"/>
  <c r="AC61" i="97"/>
  <c r="AC45" i="97"/>
  <c r="AC29" i="97"/>
  <c r="AC13" i="97"/>
  <c r="AC51" i="97"/>
  <c r="AC35" i="97"/>
  <c r="AC19" i="97"/>
  <c r="AC43" i="97"/>
  <c r="AC32" i="97"/>
  <c r="AC49" i="97"/>
  <c r="AC33" i="97"/>
  <c r="AC62" i="97"/>
  <c r="AC57" i="97"/>
  <c r="AC46" i="97"/>
  <c r="AC41" i="97"/>
  <c r="AC30" i="97"/>
  <c r="AC25" i="97"/>
  <c r="AC14" i="97"/>
  <c r="AC9" i="97"/>
  <c r="AC63" i="97"/>
  <c r="AC47" i="97"/>
  <c r="AC31" i="97"/>
  <c r="AC15" i="97"/>
  <c r="AC53" i="97"/>
  <c r="AC37" i="97"/>
  <c r="AC21" i="97"/>
  <c r="AC59" i="97"/>
  <c r="AC48" i="97"/>
  <c r="AC16" i="97"/>
  <c r="AC11" i="97"/>
  <c r="AC17" i="97"/>
  <c r="AG61" i="97" l="1"/>
  <c r="AH61" i="97" s="1"/>
  <c r="AF61" i="97"/>
  <c r="AI61" i="97" s="1"/>
  <c r="AG55" i="97"/>
  <c r="AH55" i="97" s="1"/>
  <c r="AF55" i="97"/>
  <c r="AI55" i="97" s="1"/>
  <c r="AF28" i="97"/>
  <c r="AI28" i="97" s="1"/>
  <c r="AG28" i="97"/>
  <c r="AH28" i="97" s="1"/>
  <c r="AG54" i="97"/>
  <c r="AH54" i="97" s="1"/>
  <c r="AF54" i="97"/>
  <c r="AI54" i="97" s="1"/>
  <c r="AG58" i="97"/>
  <c r="AH58" i="97" s="1"/>
  <c r="AF58" i="97"/>
  <c r="AI58" i="97" s="1"/>
  <c r="AF21" i="97"/>
  <c r="AI21" i="97" s="1"/>
  <c r="AG21" i="97"/>
  <c r="AH21" i="97" s="1"/>
  <c r="AF49" i="97"/>
  <c r="AI49" i="97" s="1"/>
  <c r="AG49" i="97"/>
  <c r="AH49" i="97" s="1"/>
  <c r="AF20" i="97"/>
  <c r="AI20" i="97" s="1"/>
  <c r="AG20" i="97"/>
  <c r="AH20" i="97" s="1"/>
  <c r="AF56" i="97"/>
  <c r="AI56" i="97" s="1"/>
  <c r="AG56" i="97"/>
  <c r="AH56" i="97" s="1"/>
  <c r="AF36" i="97"/>
  <c r="AI36" i="97" s="1"/>
  <c r="AG36" i="97"/>
  <c r="AH36" i="97" s="1"/>
  <c r="AG11" i="97"/>
  <c r="AH11" i="97" s="1"/>
  <c r="AF11" i="97"/>
  <c r="AI11" i="97" s="1"/>
  <c r="AG31" i="97"/>
  <c r="AH31" i="97" s="1"/>
  <c r="AF31" i="97"/>
  <c r="AI31" i="97" s="1"/>
  <c r="AG14" i="97"/>
  <c r="AH14" i="97" s="1"/>
  <c r="AF14" i="97"/>
  <c r="AI14" i="97" s="1"/>
  <c r="AG46" i="97"/>
  <c r="AH46" i="97" s="1"/>
  <c r="AF46" i="97"/>
  <c r="AI46" i="97" s="1"/>
  <c r="AG35" i="97"/>
  <c r="AH35" i="97" s="1"/>
  <c r="AF35" i="97"/>
  <c r="AI35" i="97" s="1"/>
  <c r="AF45" i="97"/>
  <c r="AI45" i="97" s="1"/>
  <c r="AG45" i="97"/>
  <c r="AH45" i="97" s="1"/>
  <c r="AG39" i="97"/>
  <c r="AH39" i="97" s="1"/>
  <c r="AF39" i="97"/>
  <c r="AI39" i="97" s="1"/>
  <c r="AG22" i="97"/>
  <c r="AH22" i="97" s="1"/>
  <c r="AF22" i="97"/>
  <c r="AI22" i="97" s="1"/>
  <c r="AG10" i="97"/>
  <c r="AH10" i="97" s="1"/>
  <c r="AF10" i="97"/>
  <c r="AI10" i="97" s="1"/>
  <c r="AG44" i="97"/>
  <c r="AH44" i="97" s="1"/>
  <c r="AF44" i="97"/>
  <c r="AI44" i="97" s="1"/>
  <c r="AG47" i="97"/>
  <c r="AH47" i="97" s="1"/>
  <c r="AF47" i="97"/>
  <c r="AI47" i="97" s="1"/>
  <c r="AG17" i="97"/>
  <c r="AH17" i="97" s="1"/>
  <c r="AF17" i="97"/>
  <c r="AI17" i="97" s="1"/>
  <c r="AG9" i="97"/>
  <c r="AH9" i="97" s="1"/>
  <c r="AF9" i="97"/>
  <c r="AI9" i="97" s="1"/>
  <c r="AF41" i="97"/>
  <c r="AI41" i="97" s="1"/>
  <c r="AG41" i="97"/>
  <c r="AH41" i="97" s="1"/>
  <c r="AF64" i="97"/>
  <c r="AI64" i="97" s="1"/>
  <c r="AG64" i="97"/>
  <c r="AH64" i="97" s="1"/>
  <c r="AG42" i="97"/>
  <c r="AH42" i="97" s="1"/>
  <c r="AF42" i="97"/>
  <c r="AI42" i="97" s="1"/>
  <c r="AG15" i="97"/>
  <c r="AH15" i="97" s="1"/>
  <c r="AF15" i="97"/>
  <c r="AI15" i="97" s="1"/>
  <c r="AF33" i="97"/>
  <c r="AI33" i="97" s="1"/>
  <c r="AG33" i="97"/>
  <c r="AH33" i="97" s="1"/>
  <c r="AF60" i="97"/>
  <c r="AI60" i="97" s="1"/>
  <c r="AG60" i="97"/>
  <c r="AH60" i="97" s="1"/>
  <c r="AG43" i="97"/>
  <c r="AH43" i="97" s="1"/>
  <c r="AF43" i="97"/>
  <c r="AI43" i="97" s="1"/>
  <c r="AF13" i="97"/>
  <c r="AI13" i="97" s="1"/>
  <c r="AG13" i="97"/>
  <c r="AH13" i="97" s="1"/>
  <c r="AH7" i="97"/>
  <c r="AF7" i="97"/>
  <c r="AI7" i="97" s="1"/>
  <c r="AG27" i="97"/>
  <c r="AH27" i="97" s="1"/>
  <c r="AF27" i="97"/>
  <c r="AI27" i="97" s="1"/>
  <c r="AF24" i="97"/>
  <c r="AI24" i="97" s="1"/>
  <c r="AG24" i="97"/>
  <c r="AH24" i="97" s="1"/>
  <c r="AG26" i="97"/>
  <c r="AH26" i="97" s="1"/>
  <c r="AF26" i="97"/>
  <c r="AI26" i="97" s="1"/>
  <c r="AF8" i="97"/>
  <c r="AI8" i="97" s="1"/>
  <c r="AG8" i="97"/>
  <c r="AH8" i="97" s="1"/>
  <c r="AG48" i="97"/>
  <c r="AH48" i="97" s="1"/>
  <c r="AF48" i="97"/>
  <c r="AI48" i="97" s="1"/>
  <c r="AG53" i="97"/>
  <c r="AH53" i="97" s="1"/>
  <c r="AF53" i="97"/>
  <c r="AI53" i="97" s="1"/>
  <c r="AG63" i="97"/>
  <c r="AH63" i="97" s="1"/>
  <c r="AF63" i="97"/>
  <c r="AI63" i="97" s="1"/>
  <c r="AG30" i="97"/>
  <c r="AH30" i="97" s="1"/>
  <c r="AF30" i="97"/>
  <c r="AI30" i="97" s="1"/>
  <c r="AG62" i="97"/>
  <c r="AH62" i="97" s="1"/>
  <c r="AF62" i="97"/>
  <c r="AI62" i="97" s="1"/>
  <c r="AG34" i="97"/>
  <c r="AH34" i="97" s="1"/>
  <c r="AF34" i="97"/>
  <c r="AI34" i="97" s="1"/>
  <c r="AG18" i="97"/>
  <c r="AH18" i="97" s="1"/>
  <c r="AF18" i="97"/>
  <c r="AI18" i="97" s="1"/>
  <c r="AF37" i="97"/>
  <c r="AI37" i="97" s="1"/>
  <c r="AG37" i="97"/>
  <c r="AH37" i="97" s="1"/>
  <c r="AG57" i="97"/>
  <c r="AH57" i="97" s="1"/>
  <c r="AF57" i="97"/>
  <c r="AI57" i="97" s="1"/>
  <c r="AG59" i="97"/>
  <c r="AH59" i="97" s="1"/>
  <c r="AF59" i="97"/>
  <c r="AI59" i="97" s="1"/>
  <c r="AG19" i="97"/>
  <c r="AH19" i="97" s="1"/>
  <c r="AF19" i="97"/>
  <c r="AI19" i="97" s="1"/>
  <c r="AF29" i="97"/>
  <c r="AI29" i="97" s="1"/>
  <c r="AG29" i="97"/>
  <c r="AH29" i="97" s="1"/>
  <c r="AF40" i="97"/>
  <c r="AI40" i="97" s="1"/>
  <c r="AG40" i="97"/>
  <c r="AH40" i="97" s="1"/>
  <c r="AG50" i="97"/>
  <c r="AH50" i="97" s="1"/>
  <c r="AF50" i="97"/>
  <c r="AI50" i="97" s="1"/>
  <c r="AG23" i="97"/>
  <c r="AH23" i="97" s="1"/>
  <c r="AF23" i="97"/>
  <c r="AI23" i="97" s="1"/>
  <c r="AG38" i="97"/>
  <c r="AH38" i="97" s="1"/>
  <c r="AF38" i="97"/>
  <c r="AI38" i="97" s="1"/>
  <c r="AG16" i="97"/>
  <c r="AH16" i="97" s="1"/>
  <c r="AF16" i="97"/>
  <c r="AI16" i="97" s="1"/>
  <c r="AF25" i="97"/>
  <c r="AI25" i="97" s="1"/>
  <c r="AG25" i="97"/>
  <c r="AH25" i="97" s="1"/>
  <c r="AF32" i="97"/>
  <c r="AI32" i="97" s="1"/>
  <c r="AG32" i="97"/>
  <c r="AH32" i="97" s="1"/>
  <c r="AG51" i="97"/>
  <c r="AH51" i="97" s="1"/>
  <c r="AF51" i="97"/>
  <c r="AI51" i="97" s="1"/>
  <c r="AF12" i="97"/>
  <c r="AI12" i="97" s="1"/>
  <c r="AG12" i="97"/>
  <c r="AH12" i="97" s="1"/>
  <c r="AF52" i="97"/>
  <c r="AI52" i="97" s="1"/>
  <c r="AG52" i="97"/>
  <c r="AH52" i="97" s="1"/>
  <c r="AG78" i="97" l="1"/>
  <c r="AG76" i="97"/>
  <c r="AF78" i="97"/>
  <c r="AF76" i="97"/>
  <c r="AE76" i="97"/>
  <c r="AE78" i="97"/>
  <c r="AH78" i="97"/>
  <c r="AH76" i="97"/>
  <c r="AI77" i="97"/>
  <c r="AI70" i="97"/>
  <c r="AE77" i="97" a="1"/>
  <c r="AE77" i="97" s="1"/>
  <c r="AI76" i="97"/>
  <c r="AF77" i="97" a="1"/>
  <c r="AF77" i="97" s="1"/>
  <c r="AH69" i="97"/>
  <c r="AH71" i="97"/>
  <c r="AI71" i="97"/>
  <c r="AG77" i="97" a="1"/>
  <c r="AG77" i="97" s="1"/>
  <c r="AI69" i="97"/>
  <c r="AH77" i="97" a="1"/>
  <c r="AH77" i="97" s="1"/>
  <c r="AI78" i="97"/>
  <c r="AH70" i="97"/>
  <c r="AG70" i="97"/>
  <c r="AG69" i="97"/>
  <c r="AG71" i="97"/>
  <c r="AE71" i="97"/>
  <c r="AE70" i="97"/>
  <c r="AE69" i="97"/>
  <c r="AF69" i="97"/>
  <c r="AF70" i="97"/>
  <c r="AF71" i="97"/>
  <c r="D63" i="67"/>
  <c r="G63" i="67"/>
  <c r="R8" i="97" l="1"/>
  <c r="R9" i="97"/>
  <c r="R10" i="97"/>
  <c r="R11" i="97"/>
  <c r="R12" i="97"/>
  <c r="R13" i="97"/>
  <c r="R14" i="97"/>
  <c r="R15" i="97"/>
  <c r="R16" i="97"/>
  <c r="R17" i="97"/>
  <c r="R18" i="97"/>
  <c r="R19" i="97"/>
  <c r="R20" i="97"/>
  <c r="R21" i="97"/>
  <c r="R22" i="97"/>
  <c r="R23" i="97"/>
  <c r="R24" i="97"/>
  <c r="R25" i="97"/>
  <c r="R26" i="97"/>
  <c r="R27" i="97"/>
  <c r="R28" i="97"/>
  <c r="R29" i="97"/>
  <c r="R30" i="97"/>
  <c r="R31" i="97"/>
  <c r="R32" i="97"/>
  <c r="R33" i="97"/>
  <c r="R34" i="97"/>
  <c r="R35" i="97"/>
  <c r="R36" i="97"/>
  <c r="R37" i="97"/>
  <c r="R38" i="97"/>
  <c r="R39" i="97"/>
  <c r="R40" i="97"/>
  <c r="R41" i="97"/>
  <c r="R42" i="97"/>
  <c r="R43" i="97"/>
  <c r="R44" i="97"/>
  <c r="R45" i="97"/>
  <c r="R46" i="97"/>
  <c r="R47" i="97"/>
  <c r="R48" i="97"/>
  <c r="R49" i="97"/>
  <c r="R50" i="97"/>
  <c r="R51" i="97"/>
  <c r="R52" i="97"/>
  <c r="R53" i="97"/>
  <c r="R54" i="97"/>
  <c r="R55" i="97"/>
  <c r="R56" i="97"/>
  <c r="R57" i="97"/>
  <c r="R58" i="97"/>
  <c r="R59" i="97"/>
  <c r="R60" i="97"/>
  <c r="R61" i="97"/>
  <c r="R62" i="97"/>
  <c r="R63" i="97"/>
  <c r="R64" i="97"/>
  <c r="R7" i="97"/>
  <c r="CL51" i="97" l="1"/>
  <c r="BH51" i="97"/>
  <c r="BR51" i="97"/>
  <c r="CB51" i="97"/>
  <c r="BJ51" i="97"/>
  <c r="BT51" i="97"/>
  <c r="CN51" i="97"/>
  <c r="CL27" i="97"/>
  <c r="BH27" i="97"/>
  <c r="CB27" i="97"/>
  <c r="BR27" i="97"/>
  <c r="BJ27" i="97"/>
  <c r="CN27" i="97"/>
  <c r="BT27" i="97"/>
  <c r="BR11" i="97"/>
  <c r="CB11" i="97"/>
  <c r="CL11" i="97"/>
  <c r="BH11" i="97"/>
  <c r="BJ11" i="97"/>
  <c r="CN11" i="97"/>
  <c r="BT11" i="97"/>
  <c r="BR44" i="97"/>
  <c r="CB44" i="97"/>
  <c r="BH44" i="97"/>
  <c r="CL44" i="97"/>
  <c r="BJ44" i="97"/>
  <c r="CN44" i="97"/>
  <c r="BT44" i="97"/>
  <c r="CL61" i="97"/>
  <c r="BR61" i="97"/>
  <c r="BH61" i="97"/>
  <c r="CB61" i="97"/>
  <c r="BJ61" i="97"/>
  <c r="CN61" i="97"/>
  <c r="BT61" i="97"/>
  <c r="BH64" i="97"/>
  <c r="CB64" i="97"/>
  <c r="BR64" i="97"/>
  <c r="CL64" i="97"/>
  <c r="BJ64" i="97"/>
  <c r="BT64" i="97"/>
  <c r="CN64" i="97"/>
  <c r="BR56" i="97"/>
  <c r="BH56" i="97"/>
  <c r="CB56" i="97"/>
  <c r="CL56" i="97"/>
  <c r="BJ56" i="97"/>
  <c r="CN56" i="97"/>
  <c r="BT56" i="97"/>
  <c r="BR48" i="97"/>
  <c r="CL48" i="97"/>
  <c r="CB48" i="97"/>
  <c r="BH48" i="97"/>
  <c r="BJ48" i="97"/>
  <c r="BT48" i="97"/>
  <c r="CN48" i="97"/>
  <c r="BR40" i="97"/>
  <c r="BH40" i="97"/>
  <c r="CB40" i="97"/>
  <c r="CL40" i="97"/>
  <c r="BJ40" i="97"/>
  <c r="CN40" i="97"/>
  <c r="BT40" i="97"/>
  <c r="BR32" i="97"/>
  <c r="CB32" i="97"/>
  <c r="BH32" i="97"/>
  <c r="CL32" i="97"/>
  <c r="BJ32" i="97"/>
  <c r="BT32" i="97"/>
  <c r="CN32" i="97"/>
  <c r="BR24" i="97"/>
  <c r="CB24" i="97"/>
  <c r="CL24" i="97"/>
  <c r="BH24" i="97"/>
  <c r="BJ24" i="97"/>
  <c r="BT24" i="97"/>
  <c r="CN24" i="97"/>
  <c r="BH16" i="97"/>
  <c r="CB16" i="97"/>
  <c r="BR16" i="97"/>
  <c r="CL16" i="97"/>
  <c r="BJ16" i="97"/>
  <c r="CN16" i="97"/>
  <c r="BT16" i="97"/>
  <c r="BR8" i="97"/>
  <c r="BH8" i="97"/>
  <c r="CL8" i="97"/>
  <c r="CB8" i="97"/>
  <c r="BJ8" i="97"/>
  <c r="CN8" i="97"/>
  <c r="BT8" i="97"/>
  <c r="BH7" i="97"/>
  <c r="CB7" i="97"/>
  <c r="BR7" i="97"/>
  <c r="CL7" i="97"/>
  <c r="BJ7" i="97"/>
  <c r="BT7" i="97"/>
  <c r="CN7" i="97"/>
  <c r="CL57" i="97"/>
  <c r="BH57" i="97"/>
  <c r="BR57" i="97"/>
  <c r="CB57" i="97"/>
  <c r="BJ57" i="97"/>
  <c r="CN57" i="97"/>
  <c r="BT57" i="97"/>
  <c r="BH49" i="97"/>
  <c r="BR49" i="97"/>
  <c r="CL49" i="97"/>
  <c r="CB49" i="97"/>
  <c r="BJ49" i="97"/>
  <c r="CN49" i="97"/>
  <c r="BT49" i="97"/>
  <c r="CB41" i="97"/>
  <c r="BR41" i="97"/>
  <c r="CL41" i="97"/>
  <c r="BH41" i="97"/>
  <c r="BJ41" i="97"/>
  <c r="CN41" i="97"/>
  <c r="BT41" i="97"/>
  <c r="BR33" i="97"/>
  <c r="BH33" i="97"/>
  <c r="CB33" i="97"/>
  <c r="CL33" i="97"/>
  <c r="BJ33" i="97"/>
  <c r="CN33" i="97"/>
  <c r="BT33" i="97"/>
  <c r="CB25" i="97"/>
  <c r="BH25" i="97"/>
  <c r="CL25" i="97"/>
  <c r="BR25" i="97"/>
  <c r="BJ25" i="97"/>
  <c r="CN25" i="97"/>
  <c r="BT25" i="97"/>
  <c r="BR17" i="97"/>
  <c r="BH17" i="97"/>
  <c r="CB17" i="97"/>
  <c r="CL17" i="97"/>
  <c r="BJ17" i="97"/>
  <c r="CN17" i="97"/>
  <c r="BT17" i="97"/>
  <c r="CB9" i="97"/>
  <c r="BH9" i="97"/>
  <c r="CL9" i="97"/>
  <c r="BR9" i="97"/>
  <c r="BJ9" i="97"/>
  <c r="CN9" i="97"/>
  <c r="BT9" i="97"/>
  <c r="BH58" i="97"/>
  <c r="BR58" i="97"/>
  <c r="CB58" i="97"/>
  <c r="CL58" i="97"/>
  <c r="BJ58" i="97"/>
  <c r="BT58" i="97"/>
  <c r="CN58" i="97"/>
  <c r="BR50" i="97"/>
  <c r="CB50" i="97"/>
  <c r="CL50" i="97"/>
  <c r="BH50" i="97"/>
  <c r="CN50" i="97"/>
  <c r="BJ50" i="97"/>
  <c r="BT50" i="97"/>
  <c r="BR42" i="97"/>
  <c r="CL42" i="97"/>
  <c r="CB42" i="97"/>
  <c r="BH42" i="97"/>
  <c r="BT42" i="97"/>
  <c r="BJ42" i="97"/>
  <c r="CN42" i="97"/>
  <c r="BH34" i="97"/>
  <c r="CB34" i="97"/>
  <c r="CL34" i="97"/>
  <c r="BR34" i="97"/>
  <c r="BJ34" i="97"/>
  <c r="BT34" i="97"/>
  <c r="CN34" i="97"/>
  <c r="CL26" i="97"/>
  <c r="BR26" i="97"/>
  <c r="BH26" i="97"/>
  <c r="CB26" i="97"/>
  <c r="BJ26" i="97"/>
  <c r="CN26" i="97"/>
  <c r="BT26" i="97"/>
  <c r="BR18" i="97"/>
  <c r="BH18" i="97"/>
  <c r="CB18" i="97"/>
  <c r="CL18" i="97"/>
  <c r="BJ18" i="97"/>
  <c r="BT18" i="97"/>
  <c r="CN18" i="97"/>
  <c r="BH10" i="97"/>
  <c r="CL10" i="97"/>
  <c r="CB10" i="97"/>
  <c r="BR10" i="97"/>
  <c r="BJ10" i="97"/>
  <c r="BT10" i="97"/>
  <c r="CN10" i="97"/>
  <c r="CL43" i="97"/>
  <c r="BR43" i="97"/>
  <c r="BH43" i="97"/>
  <c r="CB43" i="97"/>
  <c r="BJ43" i="97"/>
  <c r="BT43" i="97"/>
  <c r="CN43" i="97"/>
  <c r="BR60" i="97"/>
  <c r="BH60" i="97"/>
  <c r="CL60" i="97"/>
  <c r="CB60" i="97"/>
  <c r="BJ60" i="97"/>
  <c r="CN60" i="97"/>
  <c r="BT60" i="97"/>
  <c r="BR36" i="97"/>
  <c r="CL36" i="97"/>
  <c r="CB36" i="97"/>
  <c r="BH36" i="97"/>
  <c r="BJ36" i="97"/>
  <c r="CN36" i="97"/>
  <c r="BT36" i="97"/>
  <c r="CB20" i="97"/>
  <c r="BR20" i="97"/>
  <c r="BH20" i="97"/>
  <c r="CL20" i="97"/>
  <c r="BT20" i="97"/>
  <c r="BJ20" i="97"/>
  <c r="CN20" i="97"/>
  <c r="BR53" i="97"/>
  <c r="BH53" i="97"/>
  <c r="CB53" i="97"/>
  <c r="CL53" i="97"/>
  <c r="BJ53" i="97"/>
  <c r="CN53" i="97"/>
  <c r="BT53" i="97"/>
  <c r="BR37" i="97"/>
  <c r="BH37" i="97"/>
  <c r="CB37" i="97"/>
  <c r="CL37" i="97"/>
  <c r="BJ37" i="97"/>
  <c r="CN37" i="97"/>
  <c r="BT37" i="97"/>
  <c r="CL21" i="97"/>
  <c r="BR21" i="97"/>
  <c r="BH21" i="97"/>
  <c r="CB21" i="97"/>
  <c r="BJ21" i="97"/>
  <c r="CN21" i="97"/>
  <c r="BT21" i="97"/>
  <c r="BH62" i="97"/>
  <c r="BR62" i="97"/>
  <c r="CB62" i="97"/>
  <c r="CL62" i="97"/>
  <c r="BJ62" i="97"/>
  <c r="BT62" i="97"/>
  <c r="CN62" i="97"/>
  <c r="BR54" i="97"/>
  <c r="CB54" i="97"/>
  <c r="CL54" i="97"/>
  <c r="BH54" i="97"/>
  <c r="BJ54" i="97"/>
  <c r="BT54" i="97"/>
  <c r="CN54" i="97"/>
  <c r="CB46" i="97"/>
  <c r="BR46" i="97"/>
  <c r="CL46" i="97"/>
  <c r="BH46" i="97"/>
  <c r="BJ46" i="97"/>
  <c r="CN46" i="97"/>
  <c r="BT46" i="97"/>
  <c r="CB38" i="97"/>
  <c r="CL38" i="97"/>
  <c r="BH38" i="97"/>
  <c r="BR38" i="97"/>
  <c r="BJ38" i="97"/>
  <c r="BT38" i="97"/>
  <c r="CN38" i="97"/>
  <c r="BR30" i="97"/>
  <c r="CB30" i="97"/>
  <c r="BH30" i="97"/>
  <c r="CL30" i="97"/>
  <c r="BJ30" i="97"/>
  <c r="CN30" i="97"/>
  <c r="BT30" i="97"/>
  <c r="CL22" i="97"/>
  <c r="BR22" i="97"/>
  <c r="BH22" i="97"/>
  <c r="CB22" i="97"/>
  <c r="BJ22" i="97"/>
  <c r="CN22" i="97"/>
  <c r="BT22" i="97"/>
  <c r="BR14" i="97"/>
  <c r="BH14" i="97"/>
  <c r="CB14" i="97"/>
  <c r="CL14" i="97"/>
  <c r="BJ14" i="97"/>
  <c r="CN14" i="97"/>
  <c r="BT14" i="97"/>
  <c r="BR59" i="97"/>
  <c r="CL59" i="97"/>
  <c r="BH59" i="97"/>
  <c r="CB59" i="97"/>
  <c r="BJ59" i="97"/>
  <c r="CN59" i="97"/>
  <c r="BT59" i="97"/>
  <c r="BH35" i="97"/>
  <c r="CB35" i="97"/>
  <c r="CL35" i="97"/>
  <c r="BR35" i="97"/>
  <c r="BJ35" i="97"/>
  <c r="BT35" i="97"/>
  <c r="CN35" i="97"/>
  <c r="CB19" i="97"/>
  <c r="BR19" i="97"/>
  <c r="BH19" i="97"/>
  <c r="CL19" i="97"/>
  <c r="BJ19" i="97"/>
  <c r="CN19" i="97"/>
  <c r="BT19" i="97"/>
  <c r="BH52" i="97"/>
  <c r="CB52" i="97"/>
  <c r="BR52" i="97"/>
  <c r="CL52" i="97"/>
  <c r="BJ52" i="97"/>
  <c r="BT52" i="97"/>
  <c r="CN52" i="97"/>
  <c r="BR28" i="97"/>
  <c r="CL28" i="97"/>
  <c r="BH28" i="97"/>
  <c r="CB28" i="97"/>
  <c r="BJ28" i="97"/>
  <c r="CN28" i="97"/>
  <c r="BT28" i="97"/>
  <c r="BR12" i="97"/>
  <c r="CB12" i="97"/>
  <c r="BH12" i="97"/>
  <c r="CL12" i="97"/>
  <c r="BJ12" i="97"/>
  <c r="CN12" i="97"/>
  <c r="BT12" i="97"/>
  <c r="CB45" i="97"/>
  <c r="CL45" i="97"/>
  <c r="BR45" i="97"/>
  <c r="BH45" i="97"/>
  <c r="BJ45" i="97"/>
  <c r="CN45" i="97"/>
  <c r="BT45" i="97"/>
  <c r="CL29" i="97"/>
  <c r="CB29" i="97"/>
  <c r="BR29" i="97"/>
  <c r="BH29" i="97"/>
  <c r="BJ29" i="97"/>
  <c r="BT29" i="97"/>
  <c r="CN29" i="97"/>
  <c r="CL13" i="97"/>
  <c r="BR13" i="97"/>
  <c r="BH13" i="97"/>
  <c r="CB13" i="97"/>
  <c r="BJ13" i="97"/>
  <c r="CN13" i="97"/>
  <c r="BT13" i="97"/>
  <c r="CB63" i="97"/>
  <c r="BH63" i="97"/>
  <c r="BR63" i="97"/>
  <c r="CL63" i="97"/>
  <c r="BJ63" i="97"/>
  <c r="BT63" i="97"/>
  <c r="CN63" i="97"/>
  <c r="BH55" i="97"/>
  <c r="CL55" i="97"/>
  <c r="BR55" i="97"/>
  <c r="CB55" i="97"/>
  <c r="BJ55" i="97"/>
  <c r="CN55" i="97"/>
  <c r="BT55" i="97"/>
  <c r="BH47" i="97"/>
  <c r="CB47" i="97"/>
  <c r="CL47" i="97"/>
  <c r="BR47" i="97"/>
  <c r="BJ47" i="97"/>
  <c r="CN47" i="97"/>
  <c r="BT47" i="97"/>
  <c r="BH39" i="97"/>
  <c r="CB39" i="97"/>
  <c r="BR39" i="97"/>
  <c r="CL39" i="97"/>
  <c r="BJ39" i="97"/>
  <c r="CN39" i="97"/>
  <c r="BT39" i="97"/>
  <c r="CB31" i="97"/>
  <c r="BH31" i="97"/>
  <c r="BR31" i="97"/>
  <c r="CL31" i="97"/>
  <c r="BJ31" i="97"/>
  <c r="BT31" i="97"/>
  <c r="CN31" i="97"/>
  <c r="BR23" i="97"/>
  <c r="CL23" i="97"/>
  <c r="BH23" i="97"/>
  <c r="CB23" i="97"/>
  <c r="BJ23" i="97"/>
  <c r="BT23" i="97"/>
  <c r="CN23" i="97"/>
  <c r="CL15" i="97"/>
  <c r="CB15" i="97"/>
  <c r="BH15" i="97"/>
  <c r="BR15" i="97"/>
  <c r="BJ15" i="97"/>
  <c r="CN15" i="97"/>
  <c r="BT15" i="97"/>
  <c r="AD64" i="97"/>
  <c r="AD40" i="97"/>
  <c r="AD8" i="97"/>
  <c r="AD57" i="97"/>
  <c r="AD49" i="97"/>
  <c r="AD41" i="97"/>
  <c r="AD33" i="97"/>
  <c r="AD25" i="97"/>
  <c r="AD17" i="97"/>
  <c r="AD9" i="97"/>
  <c r="AD48" i="97"/>
  <c r="AD16" i="97"/>
  <c r="AD34" i="97"/>
  <c r="AD10" i="97"/>
  <c r="AD51" i="97"/>
  <c r="AD27" i="97"/>
  <c r="AD60" i="97"/>
  <c r="AD36" i="97"/>
  <c r="AD20" i="97"/>
  <c r="AD53" i="97"/>
  <c r="AD45" i="97"/>
  <c r="AD37" i="97"/>
  <c r="AD29" i="97"/>
  <c r="AD21" i="97"/>
  <c r="AD13" i="97"/>
  <c r="AD56" i="97"/>
  <c r="AD24" i="97"/>
  <c r="AD50" i="97"/>
  <c r="AD26" i="97"/>
  <c r="AD59" i="97"/>
  <c r="AD35" i="97"/>
  <c r="AD11" i="97"/>
  <c r="AD52" i="97"/>
  <c r="AD28" i="97"/>
  <c r="AD54" i="97"/>
  <c r="AD46" i="97"/>
  <c r="AD38" i="97"/>
  <c r="AD30" i="97"/>
  <c r="AD22" i="97"/>
  <c r="AD14" i="97"/>
  <c r="AD32" i="97"/>
  <c r="AD58" i="97"/>
  <c r="AD42" i="97"/>
  <c r="AD18" i="97"/>
  <c r="AD43" i="97"/>
  <c r="AD19" i="97"/>
  <c r="AD44" i="97"/>
  <c r="AD12" i="97"/>
  <c r="AD61" i="97"/>
  <c r="AD62" i="97"/>
  <c r="AD63" i="97"/>
  <c r="AD55" i="97"/>
  <c r="AD47" i="97"/>
  <c r="AD39" i="97"/>
  <c r="AD31" i="97"/>
  <c r="AD23" i="97"/>
  <c r="AD15" i="97"/>
  <c r="AD7" i="97" l="1"/>
  <c r="CP62" i="97"/>
  <c r="CO62" i="97"/>
  <c r="CO10" i="97"/>
  <c r="CP10" i="97"/>
  <c r="CO8" i="97"/>
  <c r="CP8" i="97"/>
  <c r="CP50" i="97"/>
  <c r="CO50" i="97"/>
  <c r="CO15" i="97"/>
  <c r="CP15" i="97"/>
  <c r="CO23" i="97"/>
  <c r="CP23" i="97"/>
  <c r="CP14" i="97"/>
  <c r="CO14" i="97"/>
  <c r="CO37" i="97"/>
  <c r="CP37" i="97"/>
  <c r="CP26" i="97"/>
  <c r="CO26" i="97"/>
  <c r="CO34" i="97"/>
  <c r="CP34" i="97"/>
  <c r="CO33" i="97"/>
  <c r="CP33" i="97"/>
  <c r="CP27" i="97"/>
  <c r="CO27" i="97"/>
  <c r="CP51" i="97"/>
  <c r="CO51" i="97"/>
  <c r="CL65" i="97"/>
  <c r="CP55" i="97"/>
  <c r="CO55" i="97"/>
  <c r="CO19" i="97"/>
  <c r="CP19" i="97"/>
  <c r="CP9" i="97"/>
  <c r="CO9" i="97"/>
  <c r="CO13" i="97"/>
  <c r="CP13" i="97"/>
  <c r="CO29" i="97"/>
  <c r="CP29" i="97"/>
  <c r="CP59" i="97"/>
  <c r="CO59" i="97"/>
  <c r="CP21" i="97"/>
  <c r="CO21" i="97"/>
  <c r="CO25" i="97"/>
  <c r="CP25" i="97"/>
  <c r="CP32" i="97"/>
  <c r="CO32" i="97"/>
  <c r="CP11" i="97"/>
  <c r="CO11" i="97"/>
  <c r="CP18" i="97"/>
  <c r="CO18" i="97"/>
  <c r="CO17" i="97"/>
  <c r="CP17" i="97"/>
  <c r="CO16" i="97"/>
  <c r="CP16" i="97"/>
  <c r="CP24" i="97"/>
  <c r="CO24" i="97"/>
  <c r="CP44" i="97"/>
  <c r="CO44" i="97"/>
  <c r="CO63" i="97"/>
  <c r="CP63" i="97"/>
  <c r="CP47" i="97"/>
  <c r="CO47" i="97"/>
  <c r="CP54" i="97"/>
  <c r="CO54" i="97"/>
  <c r="CP60" i="97"/>
  <c r="CO60" i="97"/>
  <c r="CP39" i="97"/>
  <c r="CO39" i="97"/>
  <c r="CO52" i="97"/>
  <c r="CP52" i="97"/>
  <c r="CP36" i="97"/>
  <c r="CO36" i="97"/>
  <c r="CP58" i="97"/>
  <c r="CO58" i="97"/>
  <c r="CO7" i="97"/>
  <c r="CP7" i="97"/>
  <c r="CN65" i="97"/>
  <c r="CO56" i="97"/>
  <c r="CP56" i="97"/>
  <c r="CP64" i="97"/>
  <c r="CO64" i="97"/>
  <c r="CO12" i="97"/>
  <c r="CP12" i="97"/>
  <c r="CP30" i="97"/>
  <c r="CO30" i="97"/>
  <c r="CO38" i="97"/>
  <c r="CP38" i="97"/>
  <c r="CP49" i="97"/>
  <c r="CO49" i="97"/>
  <c r="CB65" i="97"/>
  <c r="CP35" i="97"/>
  <c r="CO35" i="97"/>
  <c r="CO61" i="97"/>
  <c r="CP61" i="97"/>
  <c r="CP46" i="97"/>
  <c r="CO46" i="97"/>
  <c r="CP43" i="97"/>
  <c r="CO43" i="97"/>
  <c r="CP28" i="97"/>
  <c r="CO28" i="97"/>
  <c r="CO57" i="97"/>
  <c r="CP57" i="97"/>
  <c r="CO31" i="97"/>
  <c r="CP31" i="97"/>
  <c r="CO45" i="97"/>
  <c r="CP45" i="97"/>
  <c r="CP22" i="97"/>
  <c r="CO22" i="97"/>
  <c r="CO53" i="97"/>
  <c r="CP53" i="97"/>
  <c r="CO20" i="97"/>
  <c r="CP20" i="97"/>
  <c r="CP42" i="97"/>
  <c r="CO42" i="97"/>
  <c r="CP41" i="97"/>
  <c r="CO41" i="97"/>
  <c r="CO40" i="97"/>
  <c r="CP40" i="97"/>
  <c r="CO48" i="97"/>
  <c r="CP48" i="97"/>
  <c r="AZ7" i="97"/>
  <c r="AN55" i="97"/>
  <c r="AZ55" i="97"/>
  <c r="AX55" i="97"/>
  <c r="AN33" i="97"/>
  <c r="AZ33" i="97"/>
  <c r="AX33" i="97"/>
  <c r="AN14" i="97"/>
  <c r="AZ14" i="97"/>
  <c r="AX14" i="97"/>
  <c r="AN46" i="97"/>
  <c r="AZ46" i="97"/>
  <c r="AX46" i="97"/>
  <c r="AN36" i="97"/>
  <c r="AZ36" i="97"/>
  <c r="AX36" i="97"/>
  <c r="AN34" i="97"/>
  <c r="AZ34" i="97"/>
  <c r="AX34" i="97"/>
  <c r="AN37" i="97"/>
  <c r="AZ37" i="97"/>
  <c r="AX37" i="97"/>
  <c r="AN11" i="97"/>
  <c r="AZ11" i="97"/>
  <c r="AX11" i="97"/>
  <c r="AN58" i="97"/>
  <c r="AZ58" i="97"/>
  <c r="AX58" i="97"/>
  <c r="AN32" i="97"/>
  <c r="AZ32" i="97"/>
  <c r="AX32" i="97"/>
  <c r="AN28" i="97"/>
  <c r="AZ28" i="97"/>
  <c r="AX28" i="97"/>
  <c r="AN25" i="97"/>
  <c r="AZ25" i="97"/>
  <c r="AX25" i="97"/>
  <c r="AN15" i="97"/>
  <c r="AZ15" i="97"/>
  <c r="AX15" i="97"/>
  <c r="AN47" i="97"/>
  <c r="AZ47" i="97"/>
  <c r="AX47" i="97"/>
  <c r="AN18" i="97"/>
  <c r="AZ18" i="97"/>
  <c r="AX18" i="97"/>
  <c r="AN23" i="97"/>
  <c r="AZ23" i="97"/>
  <c r="AX23" i="97"/>
  <c r="AN61" i="97"/>
  <c r="AZ61" i="97"/>
  <c r="AX61" i="97"/>
  <c r="AN29" i="97"/>
  <c r="AZ29" i="97"/>
  <c r="AX29" i="97"/>
  <c r="AN26" i="97"/>
  <c r="AZ26" i="97"/>
  <c r="AX26" i="97"/>
  <c r="AN42" i="97"/>
  <c r="AZ42" i="97"/>
  <c r="AX42" i="97"/>
  <c r="AN27" i="97"/>
  <c r="AZ27" i="97"/>
  <c r="AX27" i="97"/>
  <c r="AN16" i="97"/>
  <c r="AZ16" i="97"/>
  <c r="AX16" i="97"/>
  <c r="AN30" i="97"/>
  <c r="AZ30" i="97"/>
  <c r="AX30" i="97"/>
  <c r="AN62" i="97"/>
  <c r="AZ62" i="97"/>
  <c r="AX62" i="97"/>
  <c r="AN19" i="97"/>
  <c r="AZ19" i="97"/>
  <c r="AX19" i="97"/>
  <c r="AN9" i="97"/>
  <c r="AZ9" i="97"/>
  <c r="AX9" i="97"/>
  <c r="AN21" i="97"/>
  <c r="AZ21" i="97"/>
  <c r="AX21" i="97"/>
  <c r="AN53" i="97"/>
  <c r="AZ53" i="97"/>
  <c r="AX53" i="97"/>
  <c r="AN59" i="97"/>
  <c r="AZ59" i="97"/>
  <c r="AX59" i="97"/>
  <c r="AN41" i="97"/>
  <c r="AZ41" i="97"/>
  <c r="AX41" i="97"/>
  <c r="AN12" i="97"/>
  <c r="AZ12" i="97"/>
  <c r="AX12" i="97"/>
  <c r="AN35" i="97"/>
  <c r="AZ35" i="97"/>
  <c r="AX35" i="97"/>
  <c r="AN24" i="97"/>
  <c r="AZ24" i="97"/>
  <c r="AX24" i="97"/>
  <c r="AN40" i="97"/>
  <c r="AZ40" i="97"/>
  <c r="AX40" i="97"/>
  <c r="AN8" i="97"/>
  <c r="AZ8" i="97"/>
  <c r="AX8" i="97"/>
  <c r="AN56" i="97"/>
  <c r="AZ56" i="97"/>
  <c r="AX56" i="97"/>
  <c r="AN39" i="97"/>
  <c r="AZ39" i="97"/>
  <c r="AX39" i="97"/>
  <c r="AN31" i="97"/>
  <c r="AZ31" i="97"/>
  <c r="AX31" i="97"/>
  <c r="AN63" i="97"/>
  <c r="AZ63" i="97"/>
  <c r="AX63" i="97"/>
  <c r="AN10" i="97"/>
  <c r="AZ10" i="97"/>
  <c r="AX10" i="97"/>
  <c r="AN64" i="97"/>
  <c r="AZ64" i="97"/>
  <c r="AX64" i="97"/>
  <c r="AN38" i="97"/>
  <c r="AX38" i="97"/>
  <c r="AZ38" i="97"/>
  <c r="AN51" i="97"/>
  <c r="AZ51" i="97"/>
  <c r="AX51" i="97"/>
  <c r="AN44" i="97"/>
  <c r="AZ44" i="97"/>
  <c r="AX44" i="97"/>
  <c r="AN20" i="97"/>
  <c r="AZ20" i="97"/>
  <c r="AX20" i="97"/>
  <c r="AN57" i="97"/>
  <c r="AZ57" i="97"/>
  <c r="AX57" i="97"/>
  <c r="AN22" i="97"/>
  <c r="AZ22" i="97"/>
  <c r="AX22" i="97"/>
  <c r="AN54" i="97"/>
  <c r="AZ54" i="97"/>
  <c r="AX54" i="97"/>
  <c r="AN60" i="97"/>
  <c r="AZ60" i="97"/>
  <c r="AX60" i="97"/>
  <c r="AN50" i="97"/>
  <c r="AZ50" i="97"/>
  <c r="AX50" i="97"/>
  <c r="AN13" i="97"/>
  <c r="AZ13" i="97"/>
  <c r="AX13" i="97"/>
  <c r="AN45" i="97"/>
  <c r="AZ45" i="97"/>
  <c r="AX45" i="97"/>
  <c r="AN43" i="97"/>
  <c r="AZ43" i="97"/>
  <c r="AX43" i="97"/>
  <c r="AN17" i="97"/>
  <c r="AZ17" i="97"/>
  <c r="AX17" i="97"/>
  <c r="AN48" i="97"/>
  <c r="AZ48" i="97"/>
  <c r="AX48" i="97"/>
  <c r="AN52" i="97"/>
  <c r="AZ52" i="97"/>
  <c r="AX52" i="97"/>
  <c r="AN49" i="97"/>
  <c r="AZ49" i="97"/>
  <c r="AX49" i="97"/>
  <c r="AN7" i="97"/>
  <c r="AX7" i="97"/>
  <c r="T55" i="97"/>
  <c r="T33" i="97"/>
  <c r="T14" i="97"/>
  <c r="T46" i="97"/>
  <c r="T36" i="97"/>
  <c r="T34" i="97"/>
  <c r="T37" i="97"/>
  <c r="T11" i="97"/>
  <c r="T58" i="97"/>
  <c r="T32" i="97"/>
  <c r="T28" i="97"/>
  <c r="T25" i="97"/>
  <c r="T15" i="97"/>
  <c r="T47" i="97"/>
  <c r="T18" i="97"/>
  <c r="T64" i="97"/>
  <c r="R65" i="97"/>
  <c r="T7" i="97"/>
  <c r="T8" i="97"/>
  <c r="T42" i="97"/>
  <c r="T39" i="97"/>
  <c r="T61" i="97"/>
  <c r="T29" i="97"/>
  <c r="T20" i="97"/>
  <c r="T27" i="97"/>
  <c r="T16" i="97"/>
  <c r="T30" i="97"/>
  <c r="T62" i="97"/>
  <c r="T19" i="97"/>
  <c r="T9" i="97"/>
  <c r="T21" i="97"/>
  <c r="T53" i="97"/>
  <c r="T59" i="97"/>
  <c r="T41" i="97"/>
  <c r="T12" i="97"/>
  <c r="T35" i="97"/>
  <c r="T24" i="97"/>
  <c r="T23" i="97"/>
  <c r="T40" i="97"/>
  <c r="T10" i="97"/>
  <c r="T38" i="97"/>
  <c r="T51" i="97"/>
  <c r="T44" i="97"/>
  <c r="T26" i="97"/>
  <c r="T56" i="97"/>
  <c r="T31" i="97"/>
  <c r="T63" i="97"/>
  <c r="T57" i="97"/>
  <c r="T22" i="97"/>
  <c r="T54" i="97"/>
  <c r="T60" i="97"/>
  <c r="T50" i="97"/>
  <c r="T13" i="97"/>
  <c r="T45" i="97"/>
  <c r="T43" i="97"/>
  <c r="T17" i="97"/>
  <c r="T48" i="97"/>
  <c r="T52" i="97"/>
  <c r="T49" i="97"/>
  <c r="CC21" i="97"/>
  <c r="CC25" i="97"/>
  <c r="CC43" i="97"/>
  <c r="CC62" i="97"/>
  <c r="CC36" i="97"/>
  <c r="CC40" i="97"/>
  <c r="CC44" i="97"/>
  <c r="CC42" i="97"/>
  <c r="CC39" i="97"/>
  <c r="AE7" i="97"/>
  <c r="CQ16" i="97" l="1"/>
  <c r="CQ29" i="97"/>
  <c r="CQ38" i="97"/>
  <c r="CQ12" i="97"/>
  <c r="CQ17" i="97"/>
  <c r="CQ25" i="97"/>
  <c r="CQ19" i="97"/>
  <c r="CQ56" i="97"/>
  <c r="CQ41" i="97"/>
  <c r="CQ28" i="97"/>
  <c r="CQ22" i="97"/>
  <c r="CQ35" i="97"/>
  <c r="CQ39" i="97"/>
  <c r="CQ42" i="97"/>
  <c r="CQ43" i="97"/>
  <c r="CQ58" i="97"/>
  <c r="CQ60" i="97"/>
  <c r="CQ51" i="97"/>
  <c r="CQ26" i="97"/>
  <c r="CQ62" i="97"/>
  <c r="CQ14" i="97"/>
  <c r="CQ48" i="97"/>
  <c r="CQ20" i="97"/>
  <c r="CQ31" i="97"/>
  <c r="CQ37" i="97"/>
  <c r="CQ47" i="97"/>
  <c r="AE25" i="97"/>
  <c r="AO25" i="97" s="1"/>
  <c r="AT25" i="97" s="1"/>
  <c r="AU25" i="97" s="1"/>
  <c r="CC7" i="97"/>
  <c r="AE43" i="97"/>
  <c r="AO43" i="97" s="1"/>
  <c r="AT43" i="97" s="1"/>
  <c r="AU43" i="97" s="1"/>
  <c r="CQ45" i="97"/>
  <c r="CQ49" i="97"/>
  <c r="CQ64" i="97"/>
  <c r="CQ44" i="97"/>
  <c r="CQ18" i="97"/>
  <c r="CQ21" i="97"/>
  <c r="CQ9" i="97"/>
  <c r="CQ15" i="97"/>
  <c r="AE44" i="97"/>
  <c r="AO44" i="97" s="1"/>
  <c r="AE36" i="97"/>
  <c r="AO36" i="97" s="1"/>
  <c r="CQ13" i="97"/>
  <c r="CO77" i="97"/>
  <c r="CO70" i="97"/>
  <c r="CD44" i="97"/>
  <c r="CH44" i="97"/>
  <c r="CI44" i="97" s="1"/>
  <c r="CD36" i="97"/>
  <c r="CH36" i="97"/>
  <c r="CI36" i="97" s="1"/>
  <c r="CQ7" i="97"/>
  <c r="CP70" i="97"/>
  <c r="CQ77" i="97"/>
  <c r="CQ70" i="97"/>
  <c r="CO66" i="97"/>
  <c r="CP77" i="97"/>
  <c r="CO65" i="97"/>
  <c r="CO76" i="97"/>
  <c r="CO69" i="97"/>
  <c r="CN70" i="97"/>
  <c r="CQ10" i="97"/>
  <c r="CN77" i="97"/>
  <c r="CQ63" i="97"/>
  <c r="CQ34" i="97"/>
  <c r="CQ23" i="97"/>
  <c r="CD42" i="97"/>
  <c r="CH42" i="97"/>
  <c r="CI42" i="97" s="1"/>
  <c r="CD40" i="97"/>
  <c r="CH40" i="97"/>
  <c r="CI40" i="97" s="1"/>
  <c r="AE62" i="97"/>
  <c r="AO62" i="97" s="1"/>
  <c r="CD21" i="97"/>
  <c r="CH21" i="97"/>
  <c r="CI21" i="97" s="1"/>
  <c r="CP69" i="97"/>
  <c r="CQ69" i="97"/>
  <c r="CP76" i="97"/>
  <c r="CQ76" i="97"/>
  <c r="CP66" i="97"/>
  <c r="CP65" i="97"/>
  <c r="CN69" i="97"/>
  <c r="CN76" i="97"/>
  <c r="AE42" i="97"/>
  <c r="AO42" i="97" s="1"/>
  <c r="AE40" i="97"/>
  <c r="AO40" i="97" s="1"/>
  <c r="CD62" i="97"/>
  <c r="CH62" i="97"/>
  <c r="CI62" i="97" s="1"/>
  <c r="AE21" i="97"/>
  <c r="AO21" i="97" s="1"/>
  <c r="AT21" i="97" s="1"/>
  <c r="AU21" i="97" s="1"/>
  <c r="CQ8" i="97"/>
  <c r="CM70" i="97"/>
  <c r="CM77" i="97"/>
  <c r="CQ40" i="97"/>
  <c r="CQ53" i="97"/>
  <c r="CQ57" i="97"/>
  <c r="CQ61" i="97"/>
  <c r="CQ30" i="97"/>
  <c r="CQ52" i="97"/>
  <c r="CQ32" i="97"/>
  <c r="CQ55" i="97"/>
  <c r="CQ33" i="97"/>
  <c r="AE39" i="97"/>
  <c r="AO39" i="97" s="1"/>
  <c r="AT39" i="97" s="1"/>
  <c r="AU39" i="97" s="1"/>
  <c r="CM69" i="97"/>
  <c r="CM76" i="97"/>
  <c r="CH39" i="97"/>
  <c r="CI39" i="97" s="1"/>
  <c r="CD39" i="97"/>
  <c r="CD25" i="97"/>
  <c r="CH25" i="97"/>
  <c r="CI25" i="97" s="1"/>
  <c r="CD43" i="97"/>
  <c r="CH43" i="97"/>
  <c r="CI43" i="97" s="1"/>
  <c r="CQ24" i="97"/>
  <c r="CQ11" i="97"/>
  <c r="CQ59" i="97"/>
  <c r="CQ46" i="97"/>
  <c r="CQ36" i="97"/>
  <c r="CQ54" i="97"/>
  <c r="CQ27" i="97"/>
  <c r="CQ50" i="97"/>
  <c r="S65" i="97"/>
  <c r="CL66" i="97"/>
  <c r="CB66" i="97"/>
  <c r="CR65" i="97"/>
  <c r="CS65" i="97" s="1"/>
  <c r="CR66" i="97"/>
  <c r="CN66" i="97"/>
  <c r="BL52" i="97"/>
  <c r="BK52" i="97"/>
  <c r="BK54" i="97"/>
  <c r="BL54" i="97"/>
  <c r="BL42" i="97"/>
  <c r="BK42" i="97"/>
  <c r="BL12" i="97"/>
  <c r="BK12" i="97"/>
  <c r="BL30" i="97"/>
  <c r="BK30" i="97"/>
  <c r="BL40" i="97"/>
  <c r="BK40" i="97"/>
  <c r="BL55" i="97"/>
  <c r="BK55" i="97"/>
  <c r="BL49" i="97"/>
  <c r="BK49" i="97"/>
  <c r="BL43" i="97"/>
  <c r="BK43" i="97"/>
  <c r="BL60" i="97"/>
  <c r="BK60" i="97"/>
  <c r="BL56" i="97"/>
  <c r="BK56" i="97"/>
  <c r="BL31" i="97"/>
  <c r="BK31" i="97"/>
  <c r="BL51" i="97"/>
  <c r="BK51" i="97"/>
  <c r="BL35" i="97"/>
  <c r="BK35" i="97"/>
  <c r="BL62" i="97"/>
  <c r="BK62" i="97"/>
  <c r="BL39" i="97"/>
  <c r="BK39" i="97"/>
  <c r="BL61" i="97"/>
  <c r="BK61" i="97"/>
  <c r="BL47" i="97"/>
  <c r="BK47" i="97"/>
  <c r="BK33" i="97"/>
  <c r="BL33" i="97"/>
  <c r="BH65" i="97"/>
  <c r="BH66" i="97" s="1"/>
  <c r="BL58" i="97"/>
  <c r="BK58" i="97"/>
  <c r="BK34" i="97"/>
  <c r="BL34" i="97"/>
  <c r="BL17" i="97"/>
  <c r="BK17" i="97"/>
  <c r="BK50" i="97"/>
  <c r="BL50" i="97"/>
  <c r="BL57" i="97"/>
  <c r="BK57" i="97"/>
  <c r="BL63" i="97"/>
  <c r="BK63" i="97"/>
  <c r="BL44" i="97"/>
  <c r="BK44" i="97"/>
  <c r="BL24" i="97"/>
  <c r="BK24" i="97"/>
  <c r="BL59" i="97"/>
  <c r="BK59" i="97"/>
  <c r="BL19" i="97"/>
  <c r="BK19" i="97"/>
  <c r="BL27" i="97"/>
  <c r="BK27" i="97"/>
  <c r="BK7" i="97"/>
  <c r="BL7" i="97"/>
  <c r="BJ65" i="97"/>
  <c r="BJ66" i="97" s="1"/>
  <c r="BL18" i="97"/>
  <c r="BK18" i="97"/>
  <c r="BL28" i="97"/>
  <c r="BK28" i="97"/>
  <c r="BK37" i="97"/>
  <c r="BL37" i="97"/>
  <c r="BL14" i="97"/>
  <c r="BK14" i="97"/>
  <c r="BK45" i="97"/>
  <c r="BL45" i="97"/>
  <c r="BL15" i="97"/>
  <c r="BK15" i="97"/>
  <c r="BK53" i="97"/>
  <c r="BL53" i="97"/>
  <c r="BL32" i="97"/>
  <c r="BK32" i="97"/>
  <c r="BL11" i="97"/>
  <c r="BK11" i="97"/>
  <c r="BL29" i="97"/>
  <c r="BK29" i="97"/>
  <c r="BL64" i="97"/>
  <c r="BK64" i="97"/>
  <c r="BL21" i="97"/>
  <c r="BK21" i="97"/>
  <c r="BL20" i="97"/>
  <c r="BK20" i="97"/>
  <c r="BL36" i="97"/>
  <c r="BK36" i="97"/>
  <c r="BL48" i="97"/>
  <c r="BK48" i="97"/>
  <c r="BK13" i="97"/>
  <c r="BL13" i="97"/>
  <c r="BL22" i="97"/>
  <c r="BK22" i="97"/>
  <c r="BL38" i="97"/>
  <c r="BK38" i="97"/>
  <c r="BL8" i="97"/>
  <c r="BK8" i="97"/>
  <c r="BL10" i="97"/>
  <c r="BK10" i="97"/>
  <c r="BL41" i="97"/>
  <c r="BK41" i="97"/>
  <c r="BL9" i="97"/>
  <c r="BK9" i="97"/>
  <c r="BL16" i="97"/>
  <c r="BK16" i="97"/>
  <c r="BL26" i="97"/>
  <c r="BK26" i="97"/>
  <c r="BL23" i="97"/>
  <c r="BK23" i="97"/>
  <c r="BK25" i="97"/>
  <c r="BL25" i="97"/>
  <c r="BL46" i="97"/>
  <c r="BK46" i="97"/>
  <c r="BV42" i="97"/>
  <c r="BU42" i="97"/>
  <c r="BU11" i="97"/>
  <c r="BV11" i="97"/>
  <c r="BU35" i="97"/>
  <c r="BV35" i="97"/>
  <c r="BU53" i="97"/>
  <c r="BV53" i="97"/>
  <c r="BU62" i="97"/>
  <c r="BV62" i="97"/>
  <c r="BV20" i="97"/>
  <c r="BU20" i="97"/>
  <c r="BV37" i="97"/>
  <c r="BU37" i="97"/>
  <c r="BV26" i="97"/>
  <c r="BU26" i="97"/>
  <c r="BV18" i="97"/>
  <c r="BU18" i="97"/>
  <c r="BU14" i="97"/>
  <c r="BV14" i="97"/>
  <c r="BV23" i="97"/>
  <c r="BU23" i="97"/>
  <c r="BU17" i="97"/>
  <c r="BV17" i="97"/>
  <c r="BU50" i="97"/>
  <c r="BV50" i="97"/>
  <c r="BU57" i="97"/>
  <c r="BV57" i="97"/>
  <c r="BR65" i="97"/>
  <c r="BR66" i="97" s="1"/>
  <c r="BU19" i="97"/>
  <c r="BV19" i="97"/>
  <c r="BU13" i="97"/>
  <c r="BV13" i="97"/>
  <c r="BV44" i="97"/>
  <c r="BU44" i="97"/>
  <c r="BU47" i="97"/>
  <c r="BV47" i="97"/>
  <c r="BV33" i="97"/>
  <c r="BU33" i="97"/>
  <c r="BV41" i="97"/>
  <c r="BU41" i="97"/>
  <c r="BV9" i="97"/>
  <c r="BU9" i="97"/>
  <c r="BV16" i="97"/>
  <c r="BU16" i="97"/>
  <c r="BV15" i="97"/>
  <c r="BU15" i="97"/>
  <c r="BV39" i="97"/>
  <c r="BU39" i="97"/>
  <c r="BV51" i="97"/>
  <c r="BU51" i="97"/>
  <c r="BU58" i="97"/>
  <c r="BV58" i="97"/>
  <c r="BU40" i="97"/>
  <c r="BV40" i="97"/>
  <c r="BV52" i="97"/>
  <c r="BU52" i="97"/>
  <c r="BU45" i="97"/>
  <c r="BV45" i="97"/>
  <c r="BV54" i="97"/>
  <c r="BU54" i="97"/>
  <c r="BU31" i="97"/>
  <c r="BV31" i="97"/>
  <c r="BV24" i="97"/>
  <c r="BU24" i="97"/>
  <c r="BV28" i="97"/>
  <c r="BU28" i="97"/>
  <c r="BU48" i="97"/>
  <c r="BV48" i="97"/>
  <c r="BV63" i="97"/>
  <c r="BU63" i="97"/>
  <c r="BV8" i="97"/>
  <c r="BU8" i="97"/>
  <c r="BV7" i="97"/>
  <c r="BU7" i="97"/>
  <c r="BT65" i="97"/>
  <c r="BT66" i="97" s="1"/>
  <c r="BU25" i="97"/>
  <c r="BV25" i="97"/>
  <c r="BV59" i="97"/>
  <c r="BU59" i="97"/>
  <c r="BV27" i="97"/>
  <c r="BU27" i="97"/>
  <c r="BU56" i="97"/>
  <c r="BV56" i="97"/>
  <c r="BV64" i="97"/>
  <c r="BU64" i="97"/>
  <c r="BV34" i="97"/>
  <c r="BU34" i="97"/>
  <c r="BV55" i="97"/>
  <c r="BU55" i="97"/>
  <c r="BV22" i="97"/>
  <c r="BU22" i="97"/>
  <c r="BV38" i="97"/>
  <c r="BU38" i="97"/>
  <c r="BV36" i="97"/>
  <c r="BU36" i="97"/>
  <c r="BV12" i="97"/>
  <c r="BU12" i="97"/>
  <c r="BU21" i="97"/>
  <c r="BV21" i="97"/>
  <c r="BV30" i="97"/>
  <c r="BU30" i="97"/>
  <c r="BU61" i="97"/>
  <c r="BV61" i="97"/>
  <c r="BU46" i="97"/>
  <c r="BV46" i="97"/>
  <c r="BU29" i="97"/>
  <c r="BV29" i="97"/>
  <c r="BV32" i="97"/>
  <c r="BU32" i="97"/>
  <c r="BV10" i="97"/>
  <c r="BU10" i="97"/>
  <c r="BU49" i="97"/>
  <c r="BV49" i="97"/>
  <c r="BV43" i="97"/>
  <c r="BU43" i="97"/>
  <c r="BV60" i="97"/>
  <c r="BU60" i="97"/>
  <c r="BA10" i="97"/>
  <c r="BB10" i="97"/>
  <c r="BB41" i="97"/>
  <c r="BA41" i="97"/>
  <c r="BB16" i="97"/>
  <c r="BA16" i="97"/>
  <c r="BA47" i="97"/>
  <c r="BB47" i="97"/>
  <c r="BB13" i="97"/>
  <c r="BA13" i="97"/>
  <c r="BA51" i="97"/>
  <c r="BB51" i="97"/>
  <c r="BB8" i="97"/>
  <c r="BA8" i="97"/>
  <c r="BB24" i="97"/>
  <c r="BA24" i="97"/>
  <c r="BA19" i="97"/>
  <c r="BB19" i="97"/>
  <c r="BB61" i="97"/>
  <c r="BA61" i="97"/>
  <c r="BA58" i="97"/>
  <c r="BB58" i="97"/>
  <c r="BA55" i="97"/>
  <c r="BB55" i="97"/>
  <c r="BB17" i="97"/>
  <c r="BA17" i="97"/>
  <c r="BB57" i="97"/>
  <c r="BA57" i="97"/>
  <c r="BB31" i="97"/>
  <c r="BA31" i="97"/>
  <c r="BB53" i="97"/>
  <c r="BA53" i="97"/>
  <c r="BA42" i="97"/>
  <c r="BB42" i="97"/>
  <c r="BA25" i="97"/>
  <c r="BB25" i="97"/>
  <c r="BA46" i="97"/>
  <c r="BB46" i="97"/>
  <c r="BB60" i="97"/>
  <c r="BA60" i="97"/>
  <c r="BB37" i="97"/>
  <c r="BA37" i="97"/>
  <c r="BB40" i="97"/>
  <c r="BA40" i="97"/>
  <c r="BB9" i="97"/>
  <c r="BA9" i="97"/>
  <c r="BB48" i="97"/>
  <c r="BA48" i="97"/>
  <c r="BB22" i="97"/>
  <c r="BA22" i="97"/>
  <c r="BB63" i="97"/>
  <c r="BA63" i="97"/>
  <c r="BA59" i="97"/>
  <c r="BB59" i="97"/>
  <c r="BA27" i="97"/>
  <c r="BB27" i="97"/>
  <c r="BB15" i="97"/>
  <c r="BA15" i="97"/>
  <c r="BB36" i="97"/>
  <c r="BA36" i="97"/>
  <c r="BB52" i="97"/>
  <c r="BA52" i="97"/>
  <c r="BA34" i="97"/>
  <c r="BB34" i="97"/>
  <c r="BB49" i="97"/>
  <c r="BA49" i="97"/>
  <c r="BB12" i="97"/>
  <c r="BA12" i="97"/>
  <c r="BB30" i="97"/>
  <c r="BA30" i="97"/>
  <c r="BA18" i="97"/>
  <c r="BB18" i="97"/>
  <c r="BB45" i="97"/>
  <c r="BA45" i="97"/>
  <c r="BA44" i="97"/>
  <c r="BB44" i="97"/>
  <c r="BB56" i="97"/>
  <c r="BA56" i="97"/>
  <c r="BB33" i="97"/>
  <c r="BA33" i="97"/>
  <c r="BA50" i="97"/>
  <c r="BB50" i="97"/>
  <c r="BA35" i="97"/>
  <c r="BB35" i="97"/>
  <c r="BB62" i="97"/>
  <c r="BA62" i="97"/>
  <c r="BB23" i="97"/>
  <c r="BA23" i="97"/>
  <c r="BA11" i="97"/>
  <c r="BB11" i="97"/>
  <c r="AX65" i="97"/>
  <c r="AX66" i="97" s="1"/>
  <c r="BA7" i="97"/>
  <c r="BB54" i="97"/>
  <c r="BA54" i="97"/>
  <c r="BB64" i="97"/>
  <c r="BA64" i="97"/>
  <c r="BB29" i="97"/>
  <c r="BA29" i="97"/>
  <c r="BB32" i="97"/>
  <c r="BA32" i="97"/>
  <c r="BA43" i="97"/>
  <c r="BB43" i="97"/>
  <c r="BB20" i="97"/>
  <c r="BA20" i="97"/>
  <c r="BA38" i="97"/>
  <c r="BB38" i="97"/>
  <c r="BB39" i="97"/>
  <c r="BA39" i="97"/>
  <c r="BB21" i="97"/>
  <c r="BA21" i="97"/>
  <c r="BA26" i="97"/>
  <c r="BB26" i="97"/>
  <c r="BA28" i="97"/>
  <c r="BB28" i="97"/>
  <c r="BB14" i="97"/>
  <c r="BA14" i="97"/>
  <c r="BB7" i="97"/>
  <c r="AD66" i="97"/>
  <c r="AD65" i="97"/>
  <c r="AO7" i="97"/>
  <c r="AT7" i="97" s="1"/>
  <c r="AU7" i="97" s="1"/>
  <c r="U17" i="97"/>
  <c r="U12" i="97"/>
  <c r="U25" i="97"/>
  <c r="U56" i="97"/>
  <c r="U54" i="97"/>
  <c r="U31" i="97"/>
  <c r="U24" i="97"/>
  <c r="U19" i="97"/>
  <c r="U29" i="97"/>
  <c r="U42" i="97"/>
  <c r="U15" i="97"/>
  <c r="U57" i="97"/>
  <c r="U30" i="97"/>
  <c r="U34" i="97"/>
  <c r="U22" i="97"/>
  <c r="U35" i="97"/>
  <c r="U61" i="97"/>
  <c r="U52" i="97"/>
  <c r="U49" i="97"/>
  <c r="U60" i="97"/>
  <c r="U63" i="97"/>
  <c r="U23" i="97"/>
  <c r="U9" i="97"/>
  <c r="U20" i="97"/>
  <c r="U39" i="97"/>
  <c r="U47" i="97"/>
  <c r="U37" i="97"/>
  <c r="U50" i="97"/>
  <c r="U21" i="97"/>
  <c r="U18" i="97"/>
  <c r="U11" i="97"/>
  <c r="U33" i="97"/>
  <c r="U55" i="97"/>
  <c r="U26" i="97"/>
  <c r="U48" i="97"/>
  <c r="U62" i="97"/>
  <c r="U38" i="97"/>
  <c r="U53" i="97"/>
  <c r="U58" i="97"/>
  <c r="U14" i="97"/>
  <c r="U45" i="97"/>
  <c r="U51" i="97"/>
  <c r="U40" i="97"/>
  <c r="U59" i="97"/>
  <c r="U27" i="97"/>
  <c r="U64" i="97"/>
  <c r="U32" i="97"/>
  <c r="U46" i="97"/>
  <c r="U43" i="97"/>
  <c r="U44" i="97"/>
  <c r="U41" i="97"/>
  <c r="U16" i="97"/>
  <c r="U28" i="97"/>
  <c r="U36" i="97"/>
  <c r="AN65" i="97"/>
  <c r="AN66" i="97" s="1"/>
  <c r="U13" i="97"/>
  <c r="U8" i="97"/>
  <c r="U10" i="97"/>
  <c r="S47" i="97"/>
  <c r="S32" i="97"/>
  <c r="S55" i="97"/>
  <c r="S52" i="97"/>
  <c r="S45" i="97"/>
  <c r="S54" i="97"/>
  <c r="S26" i="97"/>
  <c r="S24" i="97"/>
  <c r="S59" i="97"/>
  <c r="S19" i="97"/>
  <c r="S27" i="97"/>
  <c r="S61" i="97"/>
  <c r="S7" i="97"/>
  <c r="V7" i="97" s="1"/>
  <c r="S40" i="97"/>
  <c r="S39" i="97"/>
  <c r="S49" i="97"/>
  <c r="S43" i="97"/>
  <c r="S60" i="97"/>
  <c r="S56" i="97"/>
  <c r="S38" i="97"/>
  <c r="S23" i="97"/>
  <c r="S41" i="97"/>
  <c r="S9" i="97"/>
  <c r="S16" i="97"/>
  <c r="S29" i="97"/>
  <c r="S8" i="97"/>
  <c r="S13" i="97"/>
  <c r="S63" i="97"/>
  <c r="S53" i="97"/>
  <c r="S37" i="97"/>
  <c r="S14" i="97"/>
  <c r="S48" i="97"/>
  <c r="S44" i="97"/>
  <c r="S62" i="97"/>
  <c r="S17" i="97"/>
  <c r="S50" i="97"/>
  <c r="S57" i="97"/>
  <c r="S31" i="97"/>
  <c r="S51" i="97"/>
  <c r="S10" i="97"/>
  <c r="S12" i="97"/>
  <c r="S21" i="97"/>
  <c r="S30" i="97"/>
  <c r="S20" i="97"/>
  <c r="S42" i="97"/>
  <c r="S22" i="97"/>
  <c r="S35" i="97"/>
  <c r="S28" i="97"/>
  <c r="S15" i="97"/>
  <c r="S46" i="97"/>
  <c r="S64" i="97"/>
  <c r="S18" i="97"/>
  <c r="S25" i="97"/>
  <c r="S11" i="97"/>
  <c r="S36" i="97"/>
  <c r="U7" i="97"/>
  <c r="T65" i="97"/>
  <c r="U65" i="97" s="1"/>
  <c r="S58" i="97"/>
  <c r="S34" i="97"/>
  <c r="S33" i="97"/>
  <c r="CC51" i="97"/>
  <c r="CH51" i="97" s="1"/>
  <c r="CI51" i="97" s="1"/>
  <c r="CD51" i="97" l="1"/>
  <c r="CE51" i="97" s="1"/>
  <c r="AE51" i="97"/>
  <c r="AO51" i="97" s="1"/>
  <c r="AT51" i="97" s="1"/>
  <c r="AU51" i="97" s="1"/>
  <c r="AC66" i="97"/>
  <c r="AP21" i="97"/>
  <c r="AR21" i="97" s="1"/>
  <c r="AP39" i="97"/>
  <c r="AR39" i="97" s="1"/>
  <c r="AT36" i="97"/>
  <c r="AU36" i="97" s="1"/>
  <c r="AP36" i="97"/>
  <c r="AQ36" i="97" s="1"/>
  <c r="AT62" i="97"/>
  <c r="AU62" i="97" s="1"/>
  <c r="AP62" i="97"/>
  <c r="AR62" i="97" s="1"/>
  <c r="AT42" i="97"/>
  <c r="AU42" i="97" s="1"/>
  <c r="AP42" i="97"/>
  <c r="AR42" i="97" s="1"/>
  <c r="AT44" i="97"/>
  <c r="AU44" i="97" s="1"/>
  <c r="AP44" i="97"/>
  <c r="AQ44" i="97" s="1"/>
  <c r="AT40" i="97"/>
  <c r="AU40" i="97" s="1"/>
  <c r="AP40" i="97"/>
  <c r="AQ40" i="97" s="1"/>
  <c r="CE62" i="97"/>
  <c r="CF62" i="97"/>
  <c r="CE42" i="97"/>
  <c r="CF42" i="97"/>
  <c r="CM78" i="97"/>
  <c r="CE21" i="97"/>
  <c r="CF21" i="97"/>
  <c r="CE40" i="97"/>
  <c r="CF40" i="97"/>
  <c r="CN78" i="97"/>
  <c r="AP51" i="97"/>
  <c r="AR51" i="97" s="1"/>
  <c r="CO78" i="97"/>
  <c r="CF39" i="97"/>
  <c r="CE39" i="97"/>
  <c r="CF44" i="97"/>
  <c r="CE44" i="97"/>
  <c r="CE25" i="97"/>
  <c r="CF25" i="97"/>
  <c r="CF43" i="97"/>
  <c r="CE43" i="97"/>
  <c r="CP78" i="97"/>
  <c r="CQ65" i="97"/>
  <c r="CQ78" i="97" s="1"/>
  <c r="CE36" i="97"/>
  <c r="CF36" i="97"/>
  <c r="CD7" i="97"/>
  <c r="CH7" i="97"/>
  <c r="CI7" i="97" s="1"/>
  <c r="AP43" i="97"/>
  <c r="AR43" i="97" s="1"/>
  <c r="AP25" i="97"/>
  <c r="AQ25" i="97" s="1"/>
  <c r="BM25" i="97"/>
  <c r="BM28" i="97"/>
  <c r="CS66" i="97"/>
  <c r="BM27" i="97"/>
  <c r="BM13" i="97"/>
  <c r="S91" i="97"/>
  <c r="S89" i="97"/>
  <c r="T89" i="97"/>
  <c r="T91" i="97"/>
  <c r="R91" i="97"/>
  <c r="R89" i="97"/>
  <c r="U91" i="97"/>
  <c r="U89" i="97"/>
  <c r="BM8" i="97"/>
  <c r="BW62" i="97"/>
  <c r="BM49" i="97"/>
  <c r="BM12" i="97"/>
  <c r="BM64" i="97"/>
  <c r="BM44" i="97"/>
  <c r="BM33" i="97"/>
  <c r="BW21" i="97"/>
  <c r="BM38" i="97"/>
  <c r="BM26" i="97"/>
  <c r="BM39" i="97"/>
  <c r="BM51" i="97"/>
  <c r="BW17" i="97"/>
  <c r="BM50" i="97"/>
  <c r="BM20" i="97"/>
  <c r="BM18" i="97"/>
  <c r="BM45" i="97"/>
  <c r="BW52" i="97"/>
  <c r="BM19" i="97"/>
  <c r="BM40" i="97"/>
  <c r="BM37" i="97"/>
  <c r="BM42" i="97"/>
  <c r="BM9" i="97"/>
  <c r="BM47" i="97"/>
  <c r="BM60" i="97"/>
  <c r="BW54" i="97"/>
  <c r="BM35" i="97"/>
  <c r="BW50" i="97"/>
  <c r="BS77" i="97"/>
  <c r="BS70" i="97"/>
  <c r="BI76" i="97"/>
  <c r="BI69" i="97"/>
  <c r="BW28" i="97"/>
  <c r="BW41" i="97"/>
  <c r="BW35" i="97"/>
  <c r="BW70" i="97"/>
  <c r="BV70" i="97"/>
  <c r="BW77" i="97"/>
  <c r="BV77" i="97"/>
  <c r="BI70" i="97"/>
  <c r="BI77" i="97"/>
  <c r="BM70" i="97"/>
  <c r="BL77" i="97"/>
  <c r="BL70" i="97"/>
  <c r="BM77" i="97"/>
  <c r="BW16" i="97"/>
  <c r="BJ69" i="97"/>
  <c r="BJ76" i="97"/>
  <c r="BK77" i="97"/>
  <c r="BK70" i="97"/>
  <c r="BM69" i="97"/>
  <c r="BL76" i="97"/>
  <c r="BM76" i="97"/>
  <c r="BL69" i="97"/>
  <c r="BW31" i="97"/>
  <c r="BW39" i="97"/>
  <c r="BW14" i="97"/>
  <c r="BW53" i="97"/>
  <c r="BU77" i="97"/>
  <c r="BU70" i="97"/>
  <c r="BT70" i="97"/>
  <c r="BT77" i="97"/>
  <c r="BJ70" i="97"/>
  <c r="BJ77" i="97"/>
  <c r="BK76" i="97"/>
  <c r="BK69" i="97"/>
  <c r="BN65" i="97"/>
  <c r="BO65" i="97" s="1"/>
  <c r="BN66" i="97"/>
  <c r="BW56" i="97"/>
  <c r="BW57" i="97"/>
  <c r="BW46" i="97"/>
  <c r="BM32" i="97"/>
  <c r="BM30" i="97"/>
  <c r="BW48" i="97"/>
  <c r="BW60" i="97"/>
  <c r="BW12" i="97"/>
  <c r="BW27" i="97"/>
  <c r="BW45" i="97"/>
  <c r="BW40" i="97"/>
  <c r="BM15" i="97"/>
  <c r="BW19" i="97"/>
  <c r="BM11" i="97"/>
  <c r="BV66" i="97"/>
  <c r="BW55" i="97"/>
  <c r="BW63" i="97"/>
  <c r="BW38" i="97"/>
  <c r="BW64" i="97"/>
  <c r="BW22" i="97"/>
  <c r="BW10" i="97"/>
  <c r="BX65" i="97"/>
  <c r="BX66" i="97"/>
  <c r="BY66" i="97" s="1"/>
  <c r="BS69" i="97"/>
  <c r="BS76" i="97"/>
  <c r="BW13" i="97"/>
  <c r="BW43" i="97"/>
  <c r="BW36" i="97"/>
  <c r="BW34" i="97"/>
  <c r="BW59" i="97"/>
  <c r="BM48" i="97"/>
  <c r="BM24" i="97"/>
  <c r="BW58" i="97"/>
  <c r="BW47" i="97"/>
  <c r="BM23" i="97"/>
  <c r="BM62" i="97"/>
  <c r="BW8" i="97"/>
  <c r="BM55" i="97"/>
  <c r="BW23" i="97"/>
  <c r="BW18" i="97"/>
  <c r="BW37" i="97"/>
  <c r="BW42" i="97"/>
  <c r="BW49" i="97"/>
  <c r="BM46" i="97"/>
  <c r="BW25" i="97"/>
  <c r="BW24" i="97"/>
  <c r="BM31" i="97"/>
  <c r="BM57" i="97"/>
  <c r="BM17" i="97"/>
  <c r="BM14" i="97"/>
  <c r="BM53" i="97"/>
  <c r="BL65" i="97"/>
  <c r="BL66" i="97"/>
  <c r="BT69" i="97"/>
  <c r="BT76" i="97"/>
  <c r="BK65" i="97"/>
  <c r="BM7" i="97"/>
  <c r="BK66" i="97"/>
  <c r="BW32" i="97"/>
  <c r="BW30" i="97"/>
  <c r="BV65" i="97"/>
  <c r="BM43" i="97"/>
  <c r="BW29" i="97"/>
  <c r="BW61" i="97"/>
  <c r="BM21" i="97"/>
  <c r="BM36" i="97"/>
  <c r="BM34" i="97"/>
  <c r="BM56" i="97"/>
  <c r="BM59" i="97"/>
  <c r="BM63" i="97"/>
  <c r="BW51" i="97"/>
  <c r="BW15" i="97"/>
  <c r="BW9" i="97"/>
  <c r="BW33" i="97"/>
  <c r="BW44" i="97"/>
  <c r="BU69" i="97"/>
  <c r="BU76" i="97"/>
  <c r="BV76" i="97"/>
  <c r="BV69" i="97"/>
  <c r="BW69" i="97"/>
  <c r="BW76" i="97"/>
  <c r="BW7" i="97"/>
  <c r="BM10" i="97"/>
  <c r="BM29" i="97"/>
  <c r="BM61" i="97"/>
  <c r="BM22" i="97"/>
  <c r="BM54" i="97"/>
  <c r="BM52" i="97"/>
  <c r="BM58" i="97"/>
  <c r="BM16" i="97"/>
  <c r="BM41" i="97"/>
  <c r="BW26" i="97"/>
  <c r="BW20" i="97"/>
  <c r="BW11" i="97"/>
  <c r="BU65" i="97"/>
  <c r="BU66" i="97"/>
  <c r="BA70" i="97"/>
  <c r="BA77" i="97"/>
  <c r="AZ69" i="97"/>
  <c r="AZ76" i="97"/>
  <c r="BB70" i="97"/>
  <c r="BC70" i="97"/>
  <c r="BB77" i="97"/>
  <c r="BC77" i="97"/>
  <c r="BC76" i="97"/>
  <c r="BB76" i="97"/>
  <c r="BB69" i="97"/>
  <c r="BC69" i="97"/>
  <c r="AY69" i="97"/>
  <c r="AY76" i="97"/>
  <c r="BA69" i="97"/>
  <c r="BA76" i="97"/>
  <c r="AZ70" i="97"/>
  <c r="AZ77" i="97"/>
  <c r="AY77" i="97"/>
  <c r="AY70" i="97"/>
  <c r="BC21" i="97"/>
  <c r="BC39" i="97"/>
  <c r="AZ65" i="97"/>
  <c r="AZ66" i="97" s="1"/>
  <c r="AP7" i="97"/>
  <c r="BC29" i="97"/>
  <c r="BC47" i="97"/>
  <c r="BC16" i="97"/>
  <c r="BC49" i="97"/>
  <c r="BC10" i="97"/>
  <c r="BC56" i="97"/>
  <c r="BC33" i="97"/>
  <c r="BC37" i="97"/>
  <c r="BC13" i="97"/>
  <c r="BC60" i="97"/>
  <c r="BC64" i="97"/>
  <c r="BC40" i="97"/>
  <c r="BC55" i="97"/>
  <c r="BC27" i="97"/>
  <c r="BC63" i="97"/>
  <c r="BC34" i="97"/>
  <c r="AG66" i="97"/>
  <c r="AH66" i="97" s="1"/>
  <c r="AF66" i="97"/>
  <c r="V36" i="97"/>
  <c r="V42" i="97"/>
  <c r="V57" i="97"/>
  <c r="V53" i="97"/>
  <c r="V23" i="97"/>
  <c r="V45" i="97"/>
  <c r="V50" i="97"/>
  <c r="V34" i="97"/>
  <c r="V28" i="97"/>
  <c r="V10" i="97"/>
  <c r="V48" i="97"/>
  <c r="V16" i="97"/>
  <c r="V49" i="97"/>
  <c r="V24" i="97"/>
  <c r="V25" i="97"/>
  <c r="V30" i="97"/>
  <c r="V17" i="97"/>
  <c r="V13" i="97"/>
  <c r="V56" i="97"/>
  <c r="V27" i="97"/>
  <c r="V55" i="97"/>
  <c r="V11" i="97"/>
  <c r="V20" i="97"/>
  <c r="V63" i="97"/>
  <c r="V38" i="97"/>
  <c r="V61" i="97"/>
  <c r="V52" i="97"/>
  <c r="V58" i="97"/>
  <c r="V35" i="97"/>
  <c r="V51" i="97"/>
  <c r="V14" i="97"/>
  <c r="V9" i="97"/>
  <c r="V39" i="97"/>
  <c r="V26" i="97"/>
  <c r="V33" i="97"/>
  <c r="V15" i="97"/>
  <c r="V12" i="97"/>
  <c r="V44" i="97"/>
  <c r="V29" i="97"/>
  <c r="V43" i="97"/>
  <c r="V59" i="97"/>
  <c r="V47" i="97"/>
  <c r="V64" i="97"/>
  <c r="V22" i="97"/>
  <c r="V31" i="97"/>
  <c r="V37" i="97"/>
  <c r="V41" i="97"/>
  <c r="V40" i="97"/>
  <c r="V54" i="97"/>
  <c r="V18" i="97"/>
  <c r="V46" i="97"/>
  <c r="V21" i="97"/>
  <c r="V62" i="97"/>
  <c r="V8" i="97"/>
  <c r="V60" i="97"/>
  <c r="V19" i="97"/>
  <c r="V32" i="97"/>
  <c r="T82" i="97"/>
  <c r="T84" i="97"/>
  <c r="T83" i="97"/>
  <c r="S90" i="97" a="1"/>
  <c r="S90" i="97" s="1"/>
  <c r="U82" i="97"/>
  <c r="T90" i="97" a="1"/>
  <c r="T90" i="97" s="1"/>
  <c r="V82" i="97"/>
  <c r="U90" i="97" a="1"/>
  <c r="U90" i="97" s="1"/>
  <c r="R90" i="97" a="1"/>
  <c r="R90" i="97" s="1"/>
  <c r="U84" i="97"/>
  <c r="V91" i="97"/>
  <c r="V84" i="97"/>
  <c r="V89" i="97"/>
  <c r="U83" i="97"/>
  <c r="V90" i="97"/>
  <c r="V83" i="97"/>
  <c r="S84" i="97"/>
  <c r="S83" i="97"/>
  <c r="S82" i="97"/>
  <c r="R84" i="97"/>
  <c r="R82" i="97"/>
  <c r="R83" i="97"/>
  <c r="AE23" i="97"/>
  <c r="AE9" i="97"/>
  <c r="AE53" i="97"/>
  <c r="AE59" i="97"/>
  <c r="AE8" i="97"/>
  <c r="AE17" i="97"/>
  <c r="AE24" i="97"/>
  <c r="AE41" i="97"/>
  <c r="AE14" i="97"/>
  <c r="AE61" i="97"/>
  <c r="AE52" i="97"/>
  <c r="AE11" i="97"/>
  <c r="AE20" i="97"/>
  <c r="AE31" i="97"/>
  <c r="AE12" i="97"/>
  <c r="AE38" i="97"/>
  <c r="AE28" i="97"/>
  <c r="AE32" i="97"/>
  <c r="CF51" i="97" l="1"/>
  <c r="CG51" i="97" s="1"/>
  <c r="AE34" i="97"/>
  <c r="AO34" i="97" s="1"/>
  <c r="AE64" i="97"/>
  <c r="AO64" i="97" s="1"/>
  <c r="AE50" i="97"/>
  <c r="AO50" i="97" s="1"/>
  <c r="AE57" i="97"/>
  <c r="AO57" i="97" s="1"/>
  <c r="AE13" i="97"/>
  <c r="AO13" i="97" s="1"/>
  <c r="AE49" i="97"/>
  <c r="AO49" i="97" s="1"/>
  <c r="AE15" i="97"/>
  <c r="AO15" i="97" s="1"/>
  <c r="AE45" i="97"/>
  <c r="AO45" i="97" s="1"/>
  <c r="AE16" i="97"/>
  <c r="AO16" i="97" s="1"/>
  <c r="AE29" i="97"/>
  <c r="AO29" i="97" s="1"/>
  <c r="AE35" i="97"/>
  <c r="AO35" i="97" s="1"/>
  <c r="AE22" i="97"/>
  <c r="AO22" i="97" s="1"/>
  <c r="AE60" i="97"/>
  <c r="AO60" i="97" s="1"/>
  <c r="AE33" i="97"/>
  <c r="AO33" i="97" s="1"/>
  <c r="AE48" i="97"/>
  <c r="AO48" i="97" s="1"/>
  <c r="AE10" i="97"/>
  <c r="AO10" i="97" s="1"/>
  <c r="AE46" i="97"/>
  <c r="AO46" i="97" s="1"/>
  <c r="AE54" i="97"/>
  <c r="AO54" i="97" s="1"/>
  <c r="AE26" i="97"/>
  <c r="AO26" i="97" s="1"/>
  <c r="AE63" i="97"/>
  <c r="AO63" i="97" s="1"/>
  <c r="AE19" i="97"/>
  <c r="AO19" i="97" s="1"/>
  <c r="AE18" i="97"/>
  <c r="AO18" i="97" s="1"/>
  <c r="AE56" i="97"/>
  <c r="AO56" i="97" s="1"/>
  <c r="AE37" i="97"/>
  <c r="AO37" i="97" s="1"/>
  <c r="AE27" i="97"/>
  <c r="AO27" i="97" s="1"/>
  <c r="AE58" i="97"/>
  <c r="AO58" i="97" s="1"/>
  <c r="AE55" i="97"/>
  <c r="AO55" i="97" s="1"/>
  <c r="AE47" i="97"/>
  <c r="AO47" i="97" s="1"/>
  <c r="AE30" i="97"/>
  <c r="AO30" i="97" s="1"/>
  <c r="AQ51" i="97"/>
  <c r="AS51" i="97" s="1"/>
  <c r="AQ21" i="97"/>
  <c r="AS21" i="97" s="1"/>
  <c r="AR25" i="97"/>
  <c r="AS25" i="97" s="1"/>
  <c r="CG43" i="97"/>
  <c r="CG42" i="97"/>
  <c r="AQ43" i="97"/>
  <c r="AS43" i="97" s="1"/>
  <c r="AQ39" i="97"/>
  <c r="AS39" i="97" s="1"/>
  <c r="CG40" i="97"/>
  <c r="AR40" i="97"/>
  <c r="AS40" i="97" s="1"/>
  <c r="CG44" i="97"/>
  <c r="AR36" i="97"/>
  <c r="AS36" i="97" s="1"/>
  <c r="AQ42" i="97"/>
  <c r="AS42" i="97" s="1"/>
  <c r="CG36" i="97"/>
  <c r="AR44" i="97"/>
  <c r="AS44" i="97" s="1"/>
  <c r="AQ62" i="97"/>
  <c r="AS62" i="97" s="1"/>
  <c r="CG21" i="97"/>
  <c r="CF7" i="97"/>
  <c r="CE7" i="97"/>
  <c r="CG39" i="97"/>
  <c r="CG62" i="97"/>
  <c r="CG25" i="97"/>
  <c r="T78" i="97"/>
  <c r="T76" i="97"/>
  <c r="S78" i="97"/>
  <c r="S76" i="97"/>
  <c r="U78" i="97"/>
  <c r="U76" i="97"/>
  <c r="R78" i="97"/>
  <c r="R76" i="97"/>
  <c r="BO66" i="97"/>
  <c r="BI78" i="97"/>
  <c r="BK78" i="97"/>
  <c r="BL78" i="97"/>
  <c r="BJ78" i="97"/>
  <c r="BU78" i="97"/>
  <c r="BS78" i="97"/>
  <c r="BT78" i="97"/>
  <c r="BM65" i="97"/>
  <c r="BV78" i="97"/>
  <c r="BW65" i="97"/>
  <c r="BD65" i="97"/>
  <c r="BE65" i="97" s="1"/>
  <c r="BD66" i="97"/>
  <c r="BE66" i="97" s="1"/>
  <c r="BC35" i="97"/>
  <c r="BC57" i="97"/>
  <c r="BC48" i="97"/>
  <c r="BC45" i="97"/>
  <c r="BC25" i="97"/>
  <c r="BC26" i="97"/>
  <c r="BC36" i="97"/>
  <c r="BC62" i="97"/>
  <c r="BC46" i="97"/>
  <c r="BC58" i="97"/>
  <c r="BC54" i="97"/>
  <c r="BC42" i="97"/>
  <c r="BC50" i="97"/>
  <c r="BC18" i="97"/>
  <c r="BC44" i="97"/>
  <c r="AR7" i="97"/>
  <c r="AQ7" i="97"/>
  <c r="BC19" i="97"/>
  <c r="BC30" i="97"/>
  <c r="BC43" i="97"/>
  <c r="BC51" i="97"/>
  <c r="BC22" i="97"/>
  <c r="BC15" i="97"/>
  <c r="AO31" i="97"/>
  <c r="AT31" i="97" s="1"/>
  <c r="AU31" i="97" s="1"/>
  <c r="CC17" i="97"/>
  <c r="AO17" i="97"/>
  <c r="AT17" i="97" s="1"/>
  <c r="AU17" i="97" s="1"/>
  <c r="AO12" i="97"/>
  <c r="AT12" i="97" s="1"/>
  <c r="AU12" i="97" s="1"/>
  <c r="AO24" i="97"/>
  <c r="AT24" i="97" s="1"/>
  <c r="AU24" i="97" s="1"/>
  <c r="AO38" i="97"/>
  <c r="AT38" i="97" s="1"/>
  <c r="AU38" i="97" s="1"/>
  <c r="CC41" i="97"/>
  <c r="AO41" i="97"/>
  <c r="AT41" i="97" s="1"/>
  <c r="AU41" i="97" s="1"/>
  <c r="AO28" i="97"/>
  <c r="AT28" i="97" s="1"/>
  <c r="AU28" i="97" s="1"/>
  <c r="AO14" i="97"/>
  <c r="AT14" i="97" s="1"/>
  <c r="AU14" i="97" s="1"/>
  <c r="CC52" i="97"/>
  <c r="AO52" i="97"/>
  <c r="AT52" i="97" s="1"/>
  <c r="AU52" i="97" s="1"/>
  <c r="AO53" i="97"/>
  <c r="AT53" i="97" s="1"/>
  <c r="AU53" i="97" s="1"/>
  <c r="AO59" i="97"/>
  <c r="AT59" i="97" s="1"/>
  <c r="AU59" i="97" s="1"/>
  <c r="AO32" i="97"/>
  <c r="AT32" i="97" s="1"/>
  <c r="AU32" i="97" s="1"/>
  <c r="CC61" i="97"/>
  <c r="AO61" i="97"/>
  <c r="AT61" i="97" s="1"/>
  <c r="AU61" i="97" s="1"/>
  <c r="AO9" i="97"/>
  <c r="AT9" i="97" s="1"/>
  <c r="AU9" i="97" s="1"/>
  <c r="AO11" i="97"/>
  <c r="AT11" i="97" s="1"/>
  <c r="AU11" i="97" s="1"/>
  <c r="AO20" i="97"/>
  <c r="AT20" i="97" s="1"/>
  <c r="AU20" i="97" s="1"/>
  <c r="CC8" i="97"/>
  <c r="S69" i="97"/>
  <c r="U71" i="97"/>
  <c r="T71" i="97"/>
  <c r="R77" i="97" a="1"/>
  <c r="R77" i="97" s="1"/>
  <c r="U77" i="97" a="1"/>
  <c r="U77" i="97" s="1"/>
  <c r="S71" i="97"/>
  <c r="V78" i="97"/>
  <c r="U69" i="97"/>
  <c r="V70" i="97"/>
  <c r="S77" i="97" a="1"/>
  <c r="S77" i="97" s="1"/>
  <c r="V69" i="97"/>
  <c r="S70" i="97"/>
  <c r="U70" i="97"/>
  <c r="T77" i="97" a="1"/>
  <c r="T77" i="97" s="1"/>
  <c r="T69" i="97"/>
  <c r="R70" i="97"/>
  <c r="V71" i="97"/>
  <c r="R69" i="97"/>
  <c r="V77" i="97"/>
  <c r="T70" i="97"/>
  <c r="V76" i="97"/>
  <c r="R71" i="97"/>
  <c r="AP58" i="97" l="1"/>
  <c r="AT58" i="97"/>
  <c r="AU58" i="97" s="1"/>
  <c r="AT33" i="97"/>
  <c r="AU33" i="97" s="1"/>
  <c r="AP33" i="97"/>
  <c r="CC47" i="97"/>
  <c r="CC58" i="97"/>
  <c r="CC37" i="97"/>
  <c r="CC18" i="97"/>
  <c r="CC63" i="97"/>
  <c r="CC54" i="97"/>
  <c r="AT10" i="97"/>
  <c r="AU10" i="97" s="1"/>
  <c r="AP10" i="97"/>
  <c r="CC33" i="97"/>
  <c r="CC22" i="97"/>
  <c r="CC29" i="97"/>
  <c r="CC45" i="97"/>
  <c r="CC49" i="97"/>
  <c r="CC57" i="97"/>
  <c r="CC64" i="97"/>
  <c r="AT37" i="97"/>
  <c r="AU37" i="97" s="1"/>
  <c r="AP37" i="97"/>
  <c r="AP63" i="97"/>
  <c r="AT63" i="97"/>
  <c r="AU63" i="97" s="1"/>
  <c r="CC10" i="97"/>
  <c r="AT29" i="97"/>
  <c r="AU29" i="97" s="1"/>
  <c r="AP29" i="97"/>
  <c r="AT45" i="97"/>
  <c r="AU45" i="97" s="1"/>
  <c r="AP45" i="97"/>
  <c r="AP64" i="97"/>
  <c r="AT64" i="97"/>
  <c r="AU64" i="97" s="1"/>
  <c r="AT30" i="97"/>
  <c r="AU30" i="97" s="1"/>
  <c r="AP30" i="97"/>
  <c r="AT55" i="97"/>
  <c r="AU55" i="97" s="1"/>
  <c r="AP55" i="97"/>
  <c r="AP27" i="97"/>
  <c r="AT27" i="97"/>
  <c r="AU27" i="97" s="1"/>
  <c r="AP56" i="97"/>
  <c r="AT56" i="97"/>
  <c r="AU56" i="97" s="1"/>
  <c r="AP19" i="97"/>
  <c r="AT19" i="97"/>
  <c r="AU19" i="97" s="1"/>
  <c r="AT26" i="97"/>
  <c r="AU26" i="97" s="1"/>
  <c r="AP26" i="97"/>
  <c r="AP46" i="97"/>
  <c r="AT46" i="97"/>
  <c r="AU46" i="97" s="1"/>
  <c r="AT48" i="97"/>
  <c r="AU48" i="97" s="1"/>
  <c r="AP48" i="97"/>
  <c r="AT60" i="97"/>
  <c r="AU60" i="97" s="1"/>
  <c r="AP60" i="97"/>
  <c r="AP35" i="97"/>
  <c r="AT35" i="97"/>
  <c r="AU35" i="97" s="1"/>
  <c r="AT16" i="97"/>
  <c r="AU16" i="97" s="1"/>
  <c r="AP16" i="97"/>
  <c r="AP15" i="97"/>
  <c r="AT15" i="97"/>
  <c r="AU15" i="97" s="1"/>
  <c r="CC13" i="97"/>
  <c r="AT50" i="97"/>
  <c r="AU50" i="97" s="1"/>
  <c r="AP50" i="97"/>
  <c r="AP34" i="97"/>
  <c r="AT34" i="97"/>
  <c r="AU34" i="97" s="1"/>
  <c r="AP47" i="97"/>
  <c r="AT47" i="97"/>
  <c r="AU47" i="97" s="1"/>
  <c r="AP18" i="97"/>
  <c r="AT18" i="97"/>
  <c r="AU18" i="97" s="1"/>
  <c r="AT54" i="97"/>
  <c r="AU54" i="97" s="1"/>
  <c r="AP54" i="97"/>
  <c r="AT22" i="97"/>
  <c r="AU22" i="97" s="1"/>
  <c r="AP22" i="97"/>
  <c r="AP49" i="97"/>
  <c r="AT49" i="97"/>
  <c r="AP57" i="97"/>
  <c r="AT57" i="97"/>
  <c r="AU57" i="97" s="1"/>
  <c r="CC30" i="97"/>
  <c r="CC55" i="97"/>
  <c r="CC27" i="97"/>
  <c r="CC56" i="97"/>
  <c r="CC19" i="97"/>
  <c r="CC26" i="97"/>
  <c r="CC46" i="97"/>
  <c r="CC48" i="97"/>
  <c r="CC60" i="97"/>
  <c r="CC35" i="97"/>
  <c r="CC16" i="97"/>
  <c r="CC15" i="97"/>
  <c r="AT13" i="97"/>
  <c r="AP13" i="97"/>
  <c r="CC50" i="97"/>
  <c r="CC34" i="97"/>
  <c r="HA66" i="97"/>
  <c r="CC31" i="97"/>
  <c r="CD61" i="97"/>
  <c r="CH61" i="97"/>
  <c r="CI61" i="97" s="1"/>
  <c r="CD41" i="97"/>
  <c r="CH41" i="97"/>
  <c r="CI41" i="97" s="1"/>
  <c r="CD17" i="97"/>
  <c r="CH17" i="97"/>
  <c r="CI17" i="97" s="1"/>
  <c r="CD8" i="97"/>
  <c r="CH8" i="97"/>
  <c r="CI8" i="97" s="1"/>
  <c r="CC9" i="97"/>
  <c r="CC53" i="97"/>
  <c r="CC23" i="97"/>
  <c r="CC12" i="97"/>
  <c r="CC38" i="97"/>
  <c r="CC28" i="97"/>
  <c r="CC24" i="97"/>
  <c r="CG7" i="97"/>
  <c r="CD52" i="97"/>
  <c r="CH52" i="97"/>
  <c r="CI52" i="97" s="1"/>
  <c r="CC11" i="97"/>
  <c r="CC59" i="97"/>
  <c r="CC20" i="97"/>
  <c r="CC32" i="97"/>
  <c r="CC14" i="97"/>
  <c r="BM78" i="97"/>
  <c r="BW78" i="97"/>
  <c r="AO23" i="97"/>
  <c r="AT23" i="97" s="1"/>
  <c r="AU23" i="97" s="1"/>
  <c r="BA78" i="97"/>
  <c r="AP61" i="97"/>
  <c r="AP52" i="97"/>
  <c r="AP41" i="97"/>
  <c r="AP17" i="97"/>
  <c r="BC7" i="97"/>
  <c r="AP11" i="97"/>
  <c r="AP59" i="97"/>
  <c r="AP28" i="97"/>
  <c r="AP24" i="97"/>
  <c r="AP9" i="97"/>
  <c r="AP53" i="97"/>
  <c r="AP12" i="97"/>
  <c r="AP20" i="97"/>
  <c r="AP32" i="97"/>
  <c r="AP14" i="97"/>
  <c r="AP38" i="97"/>
  <c r="AP31" i="97"/>
  <c r="AS7" i="97"/>
  <c r="AO8" i="97"/>
  <c r="AT8" i="97" s="1"/>
  <c r="AU8" i="97" s="1"/>
  <c r="AE66" i="97"/>
  <c r="AE65" i="97"/>
  <c r="GV66" i="97"/>
  <c r="I60" i="97" l="1"/>
  <c r="I55" i="97"/>
  <c r="AQ29" i="97"/>
  <c r="AR29" i="97"/>
  <c r="CH34" i="97"/>
  <c r="CI34" i="97" s="1"/>
  <c r="CD34" i="97"/>
  <c r="CD50" i="97"/>
  <c r="CH50" i="97"/>
  <c r="CI50" i="97" s="1"/>
  <c r="AR57" i="97"/>
  <c r="AQ57" i="97"/>
  <c r="AR18" i="97"/>
  <c r="AQ18" i="97"/>
  <c r="AR34" i="97"/>
  <c r="AQ34" i="97"/>
  <c r="AR15" i="97"/>
  <c r="AQ15" i="97"/>
  <c r="AR35" i="97"/>
  <c r="AQ35" i="97"/>
  <c r="AQ56" i="97"/>
  <c r="AR56" i="97"/>
  <c r="AQ64" i="97"/>
  <c r="AR64" i="97"/>
  <c r="CD10" i="97"/>
  <c r="CH10" i="97"/>
  <c r="CI10" i="97" s="1"/>
  <c r="CH64" i="97"/>
  <c r="CI64" i="97" s="1"/>
  <c r="CD64" i="97"/>
  <c r="CD57" i="97"/>
  <c r="CH57" i="97"/>
  <c r="CI57" i="97" s="1"/>
  <c r="CD49" i="97"/>
  <c r="CH49" i="97"/>
  <c r="CD45" i="97"/>
  <c r="CH45" i="97"/>
  <c r="CI45" i="97" s="1"/>
  <c r="CD29" i="97"/>
  <c r="CH29" i="97"/>
  <c r="CI29" i="97" s="1"/>
  <c r="CH22" i="97"/>
  <c r="CI22" i="97" s="1"/>
  <c r="CD22" i="97"/>
  <c r="CD33" i="97"/>
  <c r="CH33" i="97"/>
  <c r="CI33" i="97" s="1"/>
  <c r="AQ48" i="97"/>
  <c r="AR48" i="97"/>
  <c r="AQ55" i="97"/>
  <c r="AR55" i="97"/>
  <c r="AR33" i="97"/>
  <c r="AQ33" i="97"/>
  <c r="AQ13" i="97"/>
  <c r="AR13" i="97"/>
  <c r="AU49" i="97"/>
  <c r="AR82" i="97"/>
  <c r="AR84" i="97"/>
  <c r="AQ54" i="97"/>
  <c r="AR54" i="97"/>
  <c r="AQ50" i="97"/>
  <c r="AR50" i="97"/>
  <c r="AR16" i="97"/>
  <c r="AQ16" i="97"/>
  <c r="AQ60" i="97"/>
  <c r="AR60" i="97"/>
  <c r="AR30" i="97"/>
  <c r="AQ30" i="97"/>
  <c r="AR45" i="97"/>
  <c r="AQ45" i="97"/>
  <c r="AR10" i="97"/>
  <c r="AQ10" i="97"/>
  <c r="AR22" i="97"/>
  <c r="AQ22" i="97"/>
  <c r="AR26" i="97"/>
  <c r="AQ26" i="97"/>
  <c r="AR37" i="97"/>
  <c r="AQ37" i="97"/>
  <c r="AU13" i="97"/>
  <c r="AQ82" i="97"/>
  <c r="AQ84" i="97"/>
  <c r="CH15" i="97"/>
  <c r="CI15" i="97" s="1"/>
  <c r="CD15" i="97"/>
  <c r="CD16" i="97"/>
  <c r="CH16" i="97"/>
  <c r="CI16" i="97" s="1"/>
  <c r="CH35" i="97"/>
  <c r="CI35" i="97" s="1"/>
  <c r="CD35" i="97"/>
  <c r="CD60" i="97"/>
  <c r="CH60" i="97"/>
  <c r="CI60" i="97" s="1"/>
  <c r="CD48" i="97"/>
  <c r="CH48" i="97"/>
  <c r="CI48" i="97" s="1"/>
  <c r="CD46" i="97"/>
  <c r="CH46" i="97"/>
  <c r="CI46" i="97" s="1"/>
  <c r="CH26" i="97"/>
  <c r="CI26" i="97" s="1"/>
  <c r="CD26" i="97"/>
  <c r="CH19" i="97"/>
  <c r="CI19" i="97" s="1"/>
  <c r="CD19" i="97"/>
  <c r="CD56" i="97"/>
  <c r="CH56" i="97"/>
  <c r="CI56" i="97" s="1"/>
  <c r="CH27" i="97"/>
  <c r="CI27" i="97" s="1"/>
  <c r="CD27" i="97"/>
  <c r="CD55" i="97"/>
  <c r="CH55" i="97"/>
  <c r="CI55" i="97" s="1"/>
  <c r="CH30" i="97"/>
  <c r="CI30" i="97" s="1"/>
  <c r="CD30" i="97"/>
  <c r="AQ49" i="97"/>
  <c r="AR49" i="97"/>
  <c r="AQ47" i="97"/>
  <c r="AR47" i="97"/>
  <c r="CH13" i="97"/>
  <c r="CD13" i="97"/>
  <c r="AR46" i="97"/>
  <c r="AQ46" i="97"/>
  <c r="AQ19" i="97"/>
  <c r="AR19" i="97"/>
  <c r="AQ27" i="97"/>
  <c r="AR27" i="97"/>
  <c r="AQ63" i="97"/>
  <c r="AR63" i="97"/>
  <c r="CD54" i="97"/>
  <c r="CH54" i="97"/>
  <c r="CI54" i="97" s="1"/>
  <c r="CD63" i="97"/>
  <c r="CH63" i="97"/>
  <c r="CI63" i="97" s="1"/>
  <c r="CD18" i="97"/>
  <c r="CH18" i="97"/>
  <c r="CI18" i="97" s="1"/>
  <c r="CD37" i="97"/>
  <c r="CH37" i="97"/>
  <c r="CI37" i="97" s="1"/>
  <c r="CH58" i="97"/>
  <c r="CI58" i="97" s="1"/>
  <c r="CD58" i="97"/>
  <c r="CD47" i="97"/>
  <c r="CH47" i="97"/>
  <c r="CI47" i="97" s="1"/>
  <c r="AR58" i="97"/>
  <c r="AQ58" i="97"/>
  <c r="EK50" i="97"/>
  <c r="EL50" i="97" s="1"/>
  <c r="EN50" i="97"/>
  <c r="EK42" i="97"/>
  <c r="EL42" i="97" s="1"/>
  <c r="EN42" i="97"/>
  <c r="EN19" i="97"/>
  <c r="EK19" i="97"/>
  <c r="EL19" i="97" s="1"/>
  <c r="EN46" i="97"/>
  <c r="EK46" i="97"/>
  <c r="EL46" i="97" s="1"/>
  <c r="EK13" i="97"/>
  <c r="EL13" i="97" s="1"/>
  <c r="EN13" i="97"/>
  <c r="EN21" i="97"/>
  <c r="EK21" i="97"/>
  <c r="EL21" i="97" s="1"/>
  <c r="EN35" i="97"/>
  <c r="EK35" i="97"/>
  <c r="EL35" i="97" s="1"/>
  <c r="EN39" i="97"/>
  <c r="EK39" i="97"/>
  <c r="EL39" i="97" s="1"/>
  <c r="EN40" i="97"/>
  <c r="EK40" i="97"/>
  <c r="EL40" i="97" s="1"/>
  <c r="EN44" i="97"/>
  <c r="EK44" i="97"/>
  <c r="EL44" i="97" s="1"/>
  <c r="EK48" i="97"/>
  <c r="EL48" i="97" s="1"/>
  <c r="EN48" i="97"/>
  <c r="EN33" i="97"/>
  <c r="EK33" i="97"/>
  <c r="EL33" i="97" s="1"/>
  <c r="EN60" i="97"/>
  <c r="EK60" i="97"/>
  <c r="EL60" i="97" s="1"/>
  <c r="EN62" i="97"/>
  <c r="EK62" i="97"/>
  <c r="EL62" i="97" s="1"/>
  <c r="EN56" i="97"/>
  <c r="EK56" i="97"/>
  <c r="EL56" i="97" s="1"/>
  <c r="EN37" i="97"/>
  <c r="EK37" i="97"/>
  <c r="EL37" i="97" s="1"/>
  <c r="EN63" i="97"/>
  <c r="EK63" i="97"/>
  <c r="EL63" i="97" s="1"/>
  <c r="EK26" i="97"/>
  <c r="EL26" i="97" s="1"/>
  <c r="EN26" i="97"/>
  <c r="EN10" i="97"/>
  <c r="EK10" i="97"/>
  <c r="EL10" i="97" s="1"/>
  <c r="EN27" i="97"/>
  <c r="EK27" i="97"/>
  <c r="EL27" i="97" s="1"/>
  <c r="EK64" i="97"/>
  <c r="EL64" i="97" s="1"/>
  <c r="EN64" i="97"/>
  <c r="EK45" i="97"/>
  <c r="EL45" i="97" s="1"/>
  <c r="EN45" i="97"/>
  <c r="EN51" i="97"/>
  <c r="EK51" i="97"/>
  <c r="EL51" i="97" s="1"/>
  <c r="EK22" i="97"/>
  <c r="EL22" i="97" s="1"/>
  <c r="EN22" i="97"/>
  <c r="EN43" i="97"/>
  <c r="EK43" i="97"/>
  <c r="EL43" i="97" s="1"/>
  <c r="EN18" i="97"/>
  <c r="EK18" i="97"/>
  <c r="EL18" i="97" s="1"/>
  <c r="EK16" i="97"/>
  <c r="EL16" i="97" s="1"/>
  <c r="EN16" i="97"/>
  <c r="EN30" i="97"/>
  <c r="EK30" i="97"/>
  <c r="EL30" i="97" s="1"/>
  <c r="EN55" i="97"/>
  <c r="EK55" i="97"/>
  <c r="EL55" i="97" s="1"/>
  <c r="EN58" i="97"/>
  <c r="EK58" i="97"/>
  <c r="EL58" i="97" s="1"/>
  <c r="EK57" i="97"/>
  <c r="EL57" i="97" s="1"/>
  <c r="EN57" i="97"/>
  <c r="EN25" i="97"/>
  <c r="EK25" i="97"/>
  <c r="EL25" i="97" s="1"/>
  <c r="EN36" i="97"/>
  <c r="EK36" i="97"/>
  <c r="EL36" i="97" s="1"/>
  <c r="EN34" i="97"/>
  <c r="EK34" i="97"/>
  <c r="EL34" i="97" s="1"/>
  <c r="EK47" i="97"/>
  <c r="EL47" i="97" s="1"/>
  <c r="EN47" i="97"/>
  <c r="EN54" i="97"/>
  <c r="EK54" i="97"/>
  <c r="EL54" i="97" s="1"/>
  <c r="EN29" i="97"/>
  <c r="EK29" i="97"/>
  <c r="EL29" i="97" s="1"/>
  <c r="EN15" i="97"/>
  <c r="EK15" i="97"/>
  <c r="EL15" i="97" s="1"/>
  <c r="I25" i="97"/>
  <c r="I48" i="97"/>
  <c r="I36" i="97"/>
  <c r="I33" i="97"/>
  <c r="I42" i="97"/>
  <c r="I64" i="97"/>
  <c r="I40" i="97"/>
  <c r="I51" i="97"/>
  <c r="I62" i="97"/>
  <c r="I43" i="97"/>
  <c r="I26" i="97"/>
  <c r="I45" i="97"/>
  <c r="I21" i="97"/>
  <c r="I39" i="97"/>
  <c r="I44" i="97"/>
  <c r="I63" i="97"/>
  <c r="I29" i="97"/>
  <c r="CD53" i="97"/>
  <c r="CH53" i="97"/>
  <c r="CI53" i="97" s="1"/>
  <c r="CD14" i="97"/>
  <c r="CH14" i="97"/>
  <c r="CI14" i="97" s="1"/>
  <c r="CD38" i="97"/>
  <c r="CH38" i="97"/>
  <c r="CI38" i="97" s="1"/>
  <c r="CD31" i="97"/>
  <c r="CH31" i="97"/>
  <c r="CI31" i="97" s="1"/>
  <c r="CD59" i="97"/>
  <c r="CH59" i="97"/>
  <c r="CI59" i="97" s="1"/>
  <c r="CF8" i="97"/>
  <c r="CE8" i="97"/>
  <c r="CE61" i="97"/>
  <c r="CF61" i="97"/>
  <c r="CD24" i="97"/>
  <c r="CH24" i="97"/>
  <c r="CI24" i="97" s="1"/>
  <c r="CD28" i="97"/>
  <c r="CH28" i="97"/>
  <c r="CI28" i="97" s="1"/>
  <c r="CH12" i="97"/>
  <c r="CI12" i="97" s="1"/>
  <c r="CD12" i="97"/>
  <c r="CD23" i="97"/>
  <c r="CH23" i="97"/>
  <c r="CI23" i="97" s="1"/>
  <c r="CD20" i="97"/>
  <c r="CH20" i="97"/>
  <c r="CI20" i="97" s="1"/>
  <c r="CF41" i="97"/>
  <c r="CE41" i="97"/>
  <c r="CF52" i="97"/>
  <c r="CE52" i="97"/>
  <c r="CD9" i="97"/>
  <c r="CH9" i="97"/>
  <c r="CI9" i="97" s="1"/>
  <c r="CD11" i="97"/>
  <c r="CH11" i="97"/>
  <c r="CI11" i="97" s="1"/>
  <c r="CD32" i="97"/>
  <c r="CH32" i="97"/>
  <c r="CI32" i="97" s="1"/>
  <c r="CE17" i="97"/>
  <c r="CF17" i="97"/>
  <c r="AP82" i="97"/>
  <c r="AP84" i="97"/>
  <c r="AO82" i="97"/>
  <c r="AO84" i="97"/>
  <c r="AP23" i="97"/>
  <c r="AR23" i="97" s="1"/>
  <c r="BB78" i="97"/>
  <c r="BC9" i="97"/>
  <c r="AR9" i="97"/>
  <c r="AQ9" i="97"/>
  <c r="BC28" i="97"/>
  <c r="AQ28" i="97"/>
  <c r="AR28" i="97"/>
  <c r="AQ38" i="97"/>
  <c r="AR38" i="97"/>
  <c r="BC61" i="97"/>
  <c r="AR61" i="97"/>
  <c r="AQ61" i="97"/>
  <c r="BC53" i="97"/>
  <c r="AQ53" i="97"/>
  <c r="AR53" i="97"/>
  <c r="BC24" i="97"/>
  <c r="AR24" i="97"/>
  <c r="AQ24" i="97"/>
  <c r="AP8" i="97"/>
  <c r="AR20" i="97"/>
  <c r="AQ20" i="97"/>
  <c r="BC52" i="97"/>
  <c r="AQ52" i="97"/>
  <c r="AR52" i="97"/>
  <c r="AR32" i="97"/>
  <c r="AQ32" i="97"/>
  <c r="BC41" i="97"/>
  <c r="AR41" i="97"/>
  <c r="AQ41" i="97"/>
  <c r="AQ11" i="97"/>
  <c r="AR11" i="97"/>
  <c r="AQ12" i="97"/>
  <c r="AR12" i="97"/>
  <c r="AQ59" i="97"/>
  <c r="AR59" i="97"/>
  <c r="AQ31" i="97"/>
  <c r="AR31" i="97"/>
  <c r="AQ14" i="97"/>
  <c r="AR14" i="97"/>
  <c r="AR17" i="97"/>
  <c r="AQ17" i="97"/>
  <c r="AS84" i="97" l="1"/>
  <c r="I22" i="97"/>
  <c r="I56" i="97"/>
  <c r="L56" i="97" s="1"/>
  <c r="M56" i="97" s="1"/>
  <c r="I57" i="97"/>
  <c r="L57" i="97" s="1"/>
  <c r="M57" i="97" s="1"/>
  <c r="F29" i="90"/>
  <c r="I58" i="97"/>
  <c r="I54" i="97"/>
  <c r="L54" i="97" s="1"/>
  <c r="M54" i="97" s="1"/>
  <c r="AP83" i="97" a="1"/>
  <c r="AP83" i="97" s="1"/>
  <c r="I37" i="97"/>
  <c r="L37" i="97" s="1"/>
  <c r="M37" i="97" s="1"/>
  <c r="F26" i="90"/>
  <c r="F45" i="90"/>
  <c r="I18" i="97"/>
  <c r="L18" i="97" s="1"/>
  <c r="M18" i="97" s="1"/>
  <c r="I46" i="97"/>
  <c r="L46" i="97" s="1"/>
  <c r="M46" i="97" s="1"/>
  <c r="F12" i="90"/>
  <c r="F17" i="90"/>
  <c r="F34" i="90"/>
  <c r="I27" i="97"/>
  <c r="L27" i="97" s="1"/>
  <c r="M27" i="97" s="1"/>
  <c r="I13" i="97"/>
  <c r="L13" i="97" s="1"/>
  <c r="M13" i="97" s="1"/>
  <c r="F56" i="90"/>
  <c r="F15" i="90"/>
  <c r="I16" i="97"/>
  <c r="L16" i="97" s="1"/>
  <c r="M16" i="97" s="1"/>
  <c r="F46" i="90"/>
  <c r="I47" i="97"/>
  <c r="L47" i="97" s="1"/>
  <c r="M47" i="97" s="1"/>
  <c r="F14" i="90"/>
  <c r="AQ83" i="97" a="1"/>
  <c r="AQ83" i="97" s="1"/>
  <c r="I35" i="97"/>
  <c r="L35" i="97" s="1"/>
  <c r="M35" i="97" s="1"/>
  <c r="I30" i="97"/>
  <c r="L30" i="97" s="1"/>
  <c r="M30" i="97" s="1"/>
  <c r="F49" i="90"/>
  <c r="F59" i="90"/>
  <c r="F33" i="90"/>
  <c r="I19" i="97"/>
  <c r="L19" i="97" s="1"/>
  <c r="M19" i="97" s="1"/>
  <c r="I50" i="97"/>
  <c r="L50" i="97" s="1"/>
  <c r="M50" i="97" s="1"/>
  <c r="F9" i="90"/>
  <c r="F18" i="90"/>
  <c r="I15" i="97"/>
  <c r="L15" i="97" s="1"/>
  <c r="M15" i="97" s="1"/>
  <c r="I34" i="97"/>
  <c r="L34" i="97" s="1"/>
  <c r="M34" i="97" s="1"/>
  <c r="I10" i="97"/>
  <c r="L10" i="97" s="1"/>
  <c r="M10" i="97" s="1"/>
  <c r="AS37" i="97"/>
  <c r="AS33" i="97"/>
  <c r="AS55" i="97"/>
  <c r="AS48" i="97"/>
  <c r="AS29" i="97"/>
  <c r="AS26" i="97"/>
  <c r="AS10" i="97"/>
  <c r="AS54" i="97"/>
  <c r="AS22" i="97"/>
  <c r="AS50" i="97"/>
  <c r="CF18" i="97"/>
  <c r="CE18" i="97"/>
  <c r="CF54" i="97"/>
  <c r="CE54" i="97"/>
  <c r="CF19" i="97"/>
  <c r="CE19" i="97"/>
  <c r="CF15" i="97"/>
  <c r="CE15" i="97"/>
  <c r="CF22" i="97"/>
  <c r="CE22" i="97"/>
  <c r="CF29" i="97"/>
  <c r="CE29" i="97"/>
  <c r="CF49" i="97"/>
  <c r="CE49" i="97"/>
  <c r="AO83" i="97" a="1"/>
  <c r="AO83" i="97" s="1"/>
  <c r="AS82" i="97"/>
  <c r="AS63" i="97"/>
  <c r="AS19" i="97"/>
  <c r="CE13" i="97"/>
  <c r="CF13" i="97"/>
  <c r="AS49" i="97"/>
  <c r="AR78" i="97" s="1"/>
  <c r="AR76" i="97"/>
  <c r="AR69" i="97"/>
  <c r="CE46" i="97"/>
  <c r="CF46" i="97"/>
  <c r="CF60" i="97"/>
  <c r="CE60" i="97"/>
  <c r="AS45" i="97"/>
  <c r="AS60" i="97"/>
  <c r="AS56" i="97"/>
  <c r="AS15" i="97"/>
  <c r="AS18" i="97"/>
  <c r="AR83" i="97" a="1"/>
  <c r="AR83" i="97" s="1"/>
  <c r="CE47" i="97"/>
  <c r="CF47" i="97"/>
  <c r="CE37" i="97"/>
  <c r="CF37" i="97"/>
  <c r="CE63" i="97"/>
  <c r="CF63" i="97"/>
  <c r="CI13" i="97"/>
  <c r="CE82" i="97"/>
  <c r="CE84" i="97"/>
  <c r="AR70" i="97"/>
  <c r="AR77" i="97"/>
  <c r="CF55" i="97"/>
  <c r="CE55" i="97"/>
  <c r="CF26" i="97"/>
  <c r="CE26" i="97"/>
  <c r="AS13" i="97"/>
  <c r="AQ76" i="97"/>
  <c r="AQ69" i="97"/>
  <c r="CF45" i="97"/>
  <c r="CE45" i="97"/>
  <c r="CF57" i="97"/>
  <c r="CE57" i="97"/>
  <c r="CF10" i="97"/>
  <c r="CE10" i="97"/>
  <c r="CE50" i="97"/>
  <c r="CF50" i="97"/>
  <c r="AS83" i="97"/>
  <c r="AS58" i="97"/>
  <c r="CE58" i="97"/>
  <c r="CF58" i="97"/>
  <c r="AS27" i="97"/>
  <c r="AS46" i="97"/>
  <c r="AS47" i="97"/>
  <c r="CF30" i="97"/>
  <c r="CE30" i="97"/>
  <c r="CF27" i="97"/>
  <c r="CE27" i="97"/>
  <c r="CF56" i="97"/>
  <c r="CE56" i="97"/>
  <c r="CE48" i="97"/>
  <c r="CF48" i="97"/>
  <c r="CE35" i="97"/>
  <c r="CF35" i="97"/>
  <c r="CE16" i="97"/>
  <c r="CF16" i="97"/>
  <c r="AS30" i="97"/>
  <c r="AS16" i="97"/>
  <c r="AQ77" i="97"/>
  <c r="AQ70" i="97"/>
  <c r="CE33" i="97"/>
  <c r="CF33" i="97"/>
  <c r="CI49" i="97"/>
  <c r="CF84" i="97"/>
  <c r="CF82" i="97"/>
  <c r="CE64" i="97"/>
  <c r="CF64" i="97"/>
  <c r="AS64" i="97"/>
  <c r="AS35" i="97"/>
  <c r="AS34" i="97"/>
  <c r="AS57" i="97"/>
  <c r="CE34" i="97"/>
  <c r="CF34" i="97"/>
  <c r="EK7" i="97"/>
  <c r="EN49" i="97"/>
  <c r="EK49" i="97"/>
  <c r="EL49" i="97" s="1"/>
  <c r="L39" i="97"/>
  <c r="M39" i="97" s="1"/>
  <c r="L26" i="97"/>
  <c r="M26" i="97" s="1"/>
  <c r="L25" i="97"/>
  <c r="M25" i="97" s="1"/>
  <c r="L62" i="97"/>
  <c r="M62" i="97" s="1"/>
  <c r="L40" i="97"/>
  <c r="M40" i="97" s="1"/>
  <c r="L42" i="97"/>
  <c r="M42" i="97" s="1"/>
  <c r="L43" i="97"/>
  <c r="M43" i="97" s="1"/>
  <c r="L45" i="97"/>
  <c r="M45" i="97" s="1"/>
  <c r="L36" i="97"/>
  <c r="M36" i="97" s="1"/>
  <c r="CG61" i="97"/>
  <c r="L22" i="97"/>
  <c r="M22" i="97" s="1"/>
  <c r="L44" i="97"/>
  <c r="M44" i="97" s="1"/>
  <c r="L48" i="97"/>
  <c r="M48" i="97" s="1"/>
  <c r="L63" i="97"/>
  <c r="M63" i="97" s="1"/>
  <c r="L60" i="97"/>
  <c r="M60" i="97" s="1"/>
  <c r="I7" i="97"/>
  <c r="L29" i="97"/>
  <c r="M29" i="97" s="1"/>
  <c r="L58" i="97"/>
  <c r="M58" i="97" s="1"/>
  <c r="L51" i="97"/>
  <c r="M51" i="97" s="1"/>
  <c r="L64" i="97"/>
  <c r="M64" i="97" s="1"/>
  <c r="L55" i="97"/>
  <c r="M55" i="97" s="1"/>
  <c r="I49" i="97"/>
  <c r="L21" i="97"/>
  <c r="M21" i="97" s="1"/>
  <c r="L33" i="97"/>
  <c r="M33" i="97" s="1"/>
  <c r="CG17" i="97"/>
  <c r="CC84" i="97"/>
  <c r="CE53" i="97"/>
  <c r="CF53" i="97"/>
  <c r="CE24" i="97"/>
  <c r="CF24" i="97"/>
  <c r="CF14" i="97"/>
  <c r="CE14" i="97"/>
  <c r="CE9" i="97"/>
  <c r="CF9" i="97"/>
  <c r="CE23" i="97"/>
  <c r="CF23" i="97"/>
  <c r="CE28" i="97"/>
  <c r="CF28" i="97"/>
  <c r="CG41" i="97"/>
  <c r="CG52" i="97"/>
  <c r="CE32" i="97"/>
  <c r="CF32" i="97"/>
  <c r="CF59" i="97"/>
  <c r="CE59" i="97"/>
  <c r="CD84" i="97"/>
  <c r="CD82" i="97"/>
  <c r="CE38" i="97"/>
  <c r="CF38" i="97"/>
  <c r="CE20" i="97"/>
  <c r="CF20" i="97"/>
  <c r="CG8" i="97"/>
  <c r="CF11" i="97"/>
  <c r="CE11" i="97"/>
  <c r="CF12" i="97"/>
  <c r="CE12" i="97"/>
  <c r="CF31" i="97"/>
  <c r="CE31" i="97"/>
  <c r="CC82" i="97"/>
  <c r="CD65" i="97"/>
  <c r="AQ23" i="97"/>
  <c r="AP70" i="97" s="1"/>
  <c r="AS28" i="97"/>
  <c r="AS32" i="97"/>
  <c r="AS17" i="97"/>
  <c r="AS20" i="97"/>
  <c r="AS14" i="97"/>
  <c r="AS59" i="97"/>
  <c r="AS11" i="97"/>
  <c r="AS52" i="97"/>
  <c r="AS53" i="97"/>
  <c r="AS38" i="97"/>
  <c r="BC31" i="97"/>
  <c r="BC23" i="97"/>
  <c r="BC59" i="97"/>
  <c r="BC17" i="97"/>
  <c r="BC12" i="97"/>
  <c r="BC32" i="97"/>
  <c r="BC20" i="97"/>
  <c r="AP76" i="97"/>
  <c r="AP69" i="97"/>
  <c r="AR8" i="97"/>
  <c r="AQ8" i="97"/>
  <c r="BC38" i="97"/>
  <c r="BC14" i="97"/>
  <c r="AS9" i="97"/>
  <c r="AS41" i="97"/>
  <c r="BC11" i="97"/>
  <c r="AS31" i="97"/>
  <c r="AS12" i="97"/>
  <c r="AS24" i="97"/>
  <c r="AS61" i="97"/>
  <c r="AP65" i="97"/>
  <c r="AP66" i="97" s="1"/>
  <c r="F44" i="90"/>
  <c r="F57" i="90"/>
  <c r="F35" i="90"/>
  <c r="F20" i="90"/>
  <c r="F38" i="90"/>
  <c r="F41" i="90"/>
  <c r="F36" i="90"/>
  <c r="F39" i="90"/>
  <c r="F63" i="90"/>
  <c r="F25" i="90"/>
  <c r="F47" i="90"/>
  <c r="F54" i="90"/>
  <c r="F43" i="90"/>
  <c r="F42" i="90"/>
  <c r="F28" i="90"/>
  <c r="F50" i="90"/>
  <c r="F24" i="90"/>
  <c r="F53" i="90"/>
  <c r="F61" i="90"/>
  <c r="F21" i="90"/>
  <c r="F32" i="90"/>
  <c r="F62" i="90"/>
  <c r="F55" i="90"/>
  <c r="CE83" i="97" l="1" a="1"/>
  <c r="CE83" i="97" s="1"/>
  <c r="CD83" i="97" a="1"/>
  <c r="CD83" i="97" s="1"/>
  <c r="CG57" i="97"/>
  <c r="CG60" i="97"/>
  <c r="CG22" i="97"/>
  <c r="CG19" i="97"/>
  <c r="CG18" i="97"/>
  <c r="CG29" i="97"/>
  <c r="CG15" i="97"/>
  <c r="CG54" i="97"/>
  <c r="CG27" i="97"/>
  <c r="CG64" i="97"/>
  <c r="CG56" i="97"/>
  <c r="CG30" i="97"/>
  <c r="CG26" i="97"/>
  <c r="CC83" i="97" a="1"/>
  <c r="CC83" i="97" s="1"/>
  <c r="CG37" i="97"/>
  <c r="CG46" i="97"/>
  <c r="CE69" i="97"/>
  <c r="CE76" i="97"/>
  <c r="CF83" i="97" a="1"/>
  <c r="CF83" i="97" s="1"/>
  <c r="CG33" i="97"/>
  <c r="CG35" i="97"/>
  <c r="CG13" i="97"/>
  <c r="CE70" i="97"/>
  <c r="CE77" i="97"/>
  <c r="CG84" i="97"/>
  <c r="CG82" i="97"/>
  <c r="CG34" i="97"/>
  <c r="CG58" i="97"/>
  <c r="CG50" i="97"/>
  <c r="CG55" i="97"/>
  <c r="CG63" i="97"/>
  <c r="CG47" i="97"/>
  <c r="CG49" i="97"/>
  <c r="CF78" i="97" s="1"/>
  <c r="CF77" i="97"/>
  <c r="CF70" i="97"/>
  <c r="CG83" i="97"/>
  <c r="CG16" i="97"/>
  <c r="CG48" i="97"/>
  <c r="CG10" i="97"/>
  <c r="CG45" i="97"/>
  <c r="AQ78" i="97"/>
  <c r="CF69" i="97"/>
  <c r="CF76" i="97"/>
  <c r="EN7" i="97"/>
  <c r="EL7" i="97"/>
  <c r="CG28" i="97"/>
  <c r="CG24" i="97"/>
  <c r="CC77" i="97"/>
  <c r="CG20" i="97"/>
  <c r="L84" i="97"/>
  <c r="L89" i="97"/>
  <c r="L83" i="97"/>
  <c r="L91" i="97"/>
  <c r="L82" i="97"/>
  <c r="L49" i="97"/>
  <c r="M49" i="97" s="1"/>
  <c r="L7" i="97"/>
  <c r="M7" i="97" s="1"/>
  <c r="CC70" i="97"/>
  <c r="CG38" i="97"/>
  <c r="CG69" i="97"/>
  <c r="CG31" i="97"/>
  <c r="CC76" i="97"/>
  <c r="CG70" i="97"/>
  <c r="CC69" i="97"/>
  <c r="CG23" i="97"/>
  <c r="CD77" i="97"/>
  <c r="CD70" i="97"/>
  <c r="CF65" i="97"/>
  <c r="CG32" i="97"/>
  <c r="CG53" i="97"/>
  <c r="CD76" i="97"/>
  <c r="CD69" i="97"/>
  <c r="CG76" i="97"/>
  <c r="CG59" i="97"/>
  <c r="CG12" i="97"/>
  <c r="CG14" i="97"/>
  <c r="CD66" i="97"/>
  <c r="CH66" i="97"/>
  <c r="CI66" i="97" s="1"/>
  <c r="CH65" i="97"/>
  <c r="CI65" i="97" s="1"/>
  <c r="CG11" i="97"/>
  <c r="CF66" i="97"/>
  <c r="CG77" i="97"/>
  <c r="CG9" i="97"/>
  <c r="CE65" i="97"/>
  <c r="CE66" i="97"/>
  <c r="AS23" i="97"/>
  <c r="AP78" i="97" s="1"/>
  <c r="AP77" i="97"/>
  <c r="AZ78" i="97"/>
  <c r="AT65" i="97"/>
  <c r="AU65" i="97" s="1"/>
  <c r="BY65" i="97" s="1"/>
  <c r="AT66" i="97"/>
  <c r="AU66" i="97" s="1"/>
  <c r="BC8" i="97"/>
  <c r="BA66" i="97"/>
  <c r="BA65" i="97"/>
  <c r="BB66" i="97"/>
  <c r="BB65" i="97"/>
  <c r="AO77" i="97"/>
  <c r="AS8" i="97"/>
  <c r="AO70" i="97"/>
  <c r="AQ65" i="97"/>
  <c r="AQ66" i="97"/>
  <c r="AS77" i="97"/>
  <c r="AS70" i="97"/>
  <c r="AO76" i="97"/>
  <c r="AO69" i="97"/>
  <c r="AS69" i="97"/>
  <c r="AS76" i="97"/>
  <c r="AR66" i="97"/>
  <c r="AR65" i="97"/>
  <c r="F6" i="90"/>
  <c r="F48" i="90"/>
  <c r="CE78" i="97" l="1"/>
  <c r="CD78" i="97"/>
  <c r="CG65" i="97"/>
  <c r="CG78" i="97" s="1"/>
  <c r="CC78" i="97"/>
  <c r="AY78" i="97"/>
  <c r="BC65" i="97"/>
  <c r="BC78" i="97" s="1"/>
  <c r="AO78" i="97"/>
  <c r="AS65" i="97"/>
  <c r="AS78" i="97" s="1"/>
  <c r="C63" i="109" l="1"/>
  <c r="M83" i="97"/>
  <c r="M84" i="97"/>
  <c r="M82" i="97"/>
  <c r="M91" i="97"/>
  <c r="M89" i="97"/>
  <c r="C13" i="109" l="1"/>
  <c r="C38" i="109"/>
  <c r="C47" i="109"/>
  <c r="C15" i="109"/>
  <c r="C40" i="109"/>
  <c r="C8" i="109"/>
  <c r="C29" i="109"/>
  <c r="C41" i="109"/>
  <c r="C9" i="109"/>
  <c r="C58" i="109"/>
  <c r="C26" i="109"/>
  <c r="C21" i="109"/>
  <c r="C27" i="109"/>
  <c r="C46" i="109"/>
  <c r="C23" i="109"/>
  <c r="C16" i="109"/>
  <c r="C49" i="109"/>
  <c r="C37" i="109"/>
  <c r="C36" i="109"/>
  <c r="C20" i="109"/>
  <c r="C62" i="109"/>
  <c r="C22" i="109"/>
  <c r="C39" i="109"/>
  <c r="C7" i="109"/>
  <c r="C32" i="109"/>
  <c r="C60" i="109"/>
  <c r="C30" i="109"/>
  <c r="C33" i="109"/>
  <c r="C44" i="109"/>
  <c r="C50" i="109"/>
  <c r="C18" i="109"/>
  <c r="C51" i="109"/>
  <c r="C19" i="109"/>
  <c r="C45" i="109"/>
  <c r="C55" i="109"/>
  <c r="C48" i="109"/>
  <c r="C53" i="109"/>
  <c r="C17" i="109"/>
  <c r="C34" i="109"/>
  <c r="C35" i="109"/>
  <c r="C59" i="109"/>
  <c r="C52" i="109"/>
  <c r="C61" i="109"/>
  <c r="C54" i="109"/>
  <c r="C14" i="109"/>
  <c r="C31" i="109"/>
  <c r="C56" i="109"/>
  <c r="C24" i="109"/>
  <c r="C28" i="109"/>
  <c r="C57" i="109"/>
  <c r="C25" i="109"/>
  <c r="C12" i="109"/>
  <c r="C42" i="109"/>
  <c r="C10" i="109"/>
  <c r="C43" i="109"/>
  <c r="C11" i="109"/>
  <c r="C65" i="119" l="1"/>
  <c r="H66" i="119" s="1"/>
  <c r="C6" i="109"/>
  <c r="C65" i="109" s="1"/>
  <c r="H66" i="109" s="1"/>
  <c r="C66" i="119" l="1"/>
  <c r="C66" i="109"/>
  <c r="H70" i="109" s="1"/>
  <c r="D65" i="119" l="1"/>
  <c r="H6" i="119"/>
  <c r="H62" i="119"/>
  <c r="H61" i="119"/>
  <c r="H56" i="119"/>
  <c r="H48" i="119"/>
  <c r="H47" i="119"/>
  <c r="H49" i="119"/>
  <c r="H34" i="119"/>
  <c r="H37" i="119"/>
  <c r="H26" i="119"/>
  <c r="H11" i="119"/>
  <c r="H32" i="119"/>
  <c r="H14" i="119"/>
  <c r="H25" i="119"/>
  <c r="H9" i="119"/>
  <c r="H8" i="119"/>
  <c r="H20" i="119"/>
  <c r="H60" i="119"/>
  <c r="H59" i="119"/>
  <c r="H38" i="119"/>
  <c r="H39" i="119"/>
  <c r="H15" i="119"/>
  <c r="H18" i="119"/>
  <c r="H13" i="119"/>
  <c r="H12" i="119"/>
  <c r="H58" i="119"/>
  <c r="H57" i="119"/>
  <c r="H52" i="119"/>
  <c r="H44" i="119"/>
  <c r="H43" i="119"/>
  <c r="H35" i="119"/>
  <c r="H30" i="119"/>
  <c r="H33" i="119"/>
  <c r="H23" i="119"/>
  <c r="H7" i="119"/>
  <c r="H28" i="119"/>
  <c r="H10" i="119"/>
  <c r="H21" i="119"/>
  <c r="H27" i="119"/>
  <c r="H54" i="119"/>
  <c r="H53" i="119"/>
  <c r="H55" i="119"/>
  <c r="H40" i="119"/>
  <c r="H46" i="119"/>
  <c r="H31" i="119"/>
  <c r="H41" i="119"/>
  <c r="H29" i="119"/>
  <c r="H19" i="119"/>
  <c r="H63" i="119"/>
  <c r="H22" i="119"/>
  <c r="H24" i="119"/>
  <c r="H17" i="119"/>
  <c r="H50" i="119"/>
  <c r="H51" i="119"/>
  <c r="H42" i="119"/>
  <c r="H45" i="119"/>
  <c r="H36" i="119"/>
  <c r="H16" i="119"/>
  <c r="D65" i="109"/>
  <c r="H65" i="119" l="1"/>
  <c r="H65" i="109"/>
  <c r="D14" i="74"/>
  <c r="G14" i="74" s="1"/>
  <c r="D13" i="74"/>
  <c r="D11" i="74"/>
  <c r="D12" i="74"/>
  <c r="G12" i="74" l="1"/>
  <c r="G11" i="74"/>
  <c r="G13" i="74"/>
  <c r="EN24" i="97" l="1"/>
  <c r="EK24" i="97"/>
  <c r="EL24" i="97" s="1"/>
  <c r="G15" i="74"/>
  <c r="G19" i="74" s="1"/>
  <c r="F23" i="90" l="1"/>
  <c r="I24" i="97"/>
  <c r="L24" i="97" s="1"/>
  <c r="M24" i="97" s="1"/>
  <c r="I32" i="97"/>
  <c r="L32" i="97" s="1"/>
  <c r="M32" i="97" s="1"/>
  <c r="EN20" i="97"/>
  <c r="EK20" i="97"/>
  <c r="EL20" i="97" s="1"/>
  <c r="EK9" i="97"/>
  <c r="EL9" i="97" s="1"/>
  <c r="EN9" i="97"/>
  <c r="EN59" i="97"/>
  <c r="EK59" i="97"/>
  <c r="EL59" i="97" s="1"/>
  <c r="EN14" i="97"/>
  <c r="EK14" i="97"/>
  <c r="EL14" i="97" s="1"/>
  <c r="EK52" i="97"/>
  <c r="EL52" i="97" s="1"/>
  <c r="EN52" i="97"/>
  <c r="EN12" i="97"/>
  <c r="EK12" i="97"/>
  <c r="EL12" i="97" s="1"/>
  <c r="EN28" i="97"/>
  <c r="EK28" i="97"/>
  <c r="EL28" i="97" s="1"/>
  <c r="EN41" i="97"/>
  <c r="EK41" i="97"/>
  <c r="EL41" i="97" s="1"/>
  <c r="I23" i="97"/>
  <c r="L23" i="97" s="1"/>
  <c r="M23" i="97" s="1"/>
  <c r="EN17" i="97"/>
  <c r="EK17" i="97"/>
  <c r="EL17" i="97" s="1"/>
  <c r="EK11" i="97"/>
  <c r="EL11" i="97" s="1"/>
  <c r="EN11" i="97"/>
  <c r="EN31" i="97"/>
  <c r="EK31" i="97"/>
  <c r="EL31" i="97" s="1"/>
  <c r="EK38" i="97"/>
  <c r="EL38" i="97" s="1"/>
  <c r="EN38" i="97"/>
  <c r="EK61" i="97"/>
  <c r="EL61" i="97" s="1"/>
  <c r="EN61" i="97"/>
  <c r="EN53" i="97"/>
  <c r="EK53" i="97"/>
  <c r="EL53" i="97" s="1"/>
  <c r="GF66" i="97"/>
  <c r="I11" i="97"/>
  <c r="I31" i="97"/>
  <c r="I41" i="97"/>
  <c r="I38" i="97"/>
  <c r="I53" i="97"/>
  <c r="I14" i="97"/>
  <c r="I28" i="97"/>
  <c r="I61" i="97"/>
  <c r="I52" i="97"/>
  <c r="I12" i="97"/>
  <c r="I20" i="97"/>
  <c r="I17" i="97"/>
  <c r="I9" i="97"/>
  <c r="I59" i="97"/>
  <c r="F27" i="90"/>
  <c r="F22" i="90"/>
  <c r="GO66" i="97"/>
  <c r="EK32" i="97" l="1"/>
  <c r="EL32" i="97" s="1"/>
  <c r="EN32" i="97"/>
  <c r="EK23" i="97"/>
  <c r="EL23" i="97" s="1"/>
  <c r="EN23" i="97"/>
  <c r="EK8" i="97"/>
  <c r="EJ65" i="97"/>
  <c r="L59" i="97"/>
  <c r="M59" i="97" s="1"/>
  <c r="L61" i="97"/>
  <c r="M61" i="97" s="1"/>
  <c r="L11" i="97"/>
  <c r="M11" i="97" s="1"/>
  <c r="L38" i="97"/>
  <c r="M38" i="97" s="1"/>
  <c r="L20" i="97"/>
  <c r="M20" i="97" s="1"/>
  <c r="L17" i="97"/>
  <c r="M17" i="97" s="1"/>
  <c r="L52" i="97"/>
  <c r="M52" i="97" s="1"/>
  <c r="L31" i="97"/>
  <c r="M31" i="97" s="1"/>
  <c r="L28" i="97"/>
  <c r="M28" i="97" s="1"/>
  <c r="I8" i="97"/>
  <c r="L53" i="97"/>
  <c r="M53" i="97" s="1"/>
  <c r="L9" i="97"/>
  <c r="M9" i="97" s="1"/>
  <c r="L12" i="97"/>
  <c r="M12" i="97" s="1"/>
  <c r="L14" i="97"/>
  <c r="M14" i="97" s="1"/>
  <c r="L41" i="97"/>
  <c r="M41" i="97" s="1"/>
  <c r="F13" i="90"/>
  <c r="F19" i="90"/>
  <c r="F31" i="90"/>
  <c r="F58" i="90"/>
  <c r="F16" i="90"/>
  <c r="F8" i="90"/>
  <c r="F30" i="90"/>
  <c r="F51" i="90"/>
  <c r="F37" i="90"/>
  <c r="F60" i="90"/>
  <c r="F40" i="90"/>
  <c r="F10" i="90"/>
  <c r="F11" i="90"/>
  <c r="F52" i="90"/>
  <c r="K83" i="97" l="1"/>
  <c r="EL8" i="97"/>
  <c r="EK65" i="97"/>
  <c r="EN8" i="97"/>
  <c r="EM65" i="97"/>
  <c r="EN65" i="97" s="1"/>
  <c r="K89" i="97"/>
  <c r="K84" i="97"/>
  <c r="K82" i="97"/>
  <c r="L8" i="97"/>
  <c r="I65" i="97"/>
  <c r="K91" i="97"/>
  <c r="F7" i="90"/>
  <c r="C65" i="90"/>
  <c r="D7" i="90" s="1"/>
  <c r="AE30" i="119" l="1"/>
  <c r="AH30" i="119"/>
  <c r="P30" i="119"/>
  <c r="T30" i="119"/>
  <c r="E29" i="67" s="1"/>
  <c r="AN30" i="119"/>
  <c r="L30" i="119"/>
  <c r="F30" i="119"/>
  <c r="AK30" i="119"/>
  <c r="AG30" i="119"/>
  <c r="AJ30" i="119"/>
  <c r="AD30" i="119"/>
  <c r="AM30" i="119"/>
  <c r="U30" i="119"/>
  <c r="H29" i="67" s="1"/>
  <c r="I30" i="119"/>
  <c r="J30" i="119" s="1"/>
  <c r="L41" i="119"/>
  <c r="AK41" i="119"/>
  <c r="AN41" i="119"/>
  <c r="T41" i="119"/>
  <c r="E40" i="67" s="1"/>
  <c r="AE41" i="119"/>
  <c r="AH41" i="119"/>
  <c r="F41" i="119"/>
  <c r="P41" i="119"/>
  <c r="AM41" i="119"/>
  <c r="AJ41" i="119"/>
  <c r="AG41" i="119"/>
  <c r="AD41" i="119"/>
  <c r="U41" i="119"/>
  <c r="H40" i="67" s="1"/>
  <c r="I41" i="119"/>
  <c r="J41" i="119" s="1"/>
  <c r="L20" i="119"/>
  <c r="AK20" i="119"/>
  <c r="T20" i="119"/>
  <c r="E19" i="67" s="1"/>
  <c r="P20" i="119"/>
  <c r="F20" i="119"/>
  <c r="AN20" i="119"/>
  <c r="AH20" i="119"/>
  <c r="AE20" i="119"/>
  <c r="AJ20" i="119"/>
  <c r="AM20" i="119"/>
  <c r="AG20" i="119"/>
  <c r="AD20" i="119"/>
  <c r="U20" i="119"/>
  <c r="H19" i="67" s="1"/>
  <c r="I20" i="119"/>
  <c r="J20" i="119" s="1"/>
  <c r="P25" i="119"/>
  <c r="F25" i="119"/>
  <c r="T25" i="119"/>
  <c r="E24" i="67" s="1"/>
  <c r="L25" i="119"/>
  <c r="AN25" i="119"/>
  <c r="AK25" i="119"/>
  <c r="AH25" i="119"/>
  <c r="AE25" i="119"/>
  <c r="AM25" i="119"/>
  <c r="AG25" i="119"/>
  <c r="AJ25" i="119"/>
  <c r="AD25" i="119"/>
  <c r="U25" i="119"/>
  <c r="H24" i="67" s="1"/>
  <c r="I25" i="119"/>
  <c r="J25" i="119" s="1"/>
  <c r="T61" i="119"/>
  <c r="E60" i="67" s="1"/>
  <c r="AK61" i="119"/>
  <c r="P61" i="119"/>
  <c r="AH61" i="119"/>
  <c r="L61" i="119"/>
  <c r="AE61" i="119"/>
  <c r="AN61" i="119"/>
  <c r="F61" i="119"/>
  <c r="AD61" i="119"/>
  <c r="AM61" i="119"/>
  <c r="AG61" i="119"/>
  <c r="AJ61" i="119"/>
  <c r="U61" i="119"/>
  <c r="H60" i="67" s="1"/>
  <c r="I61" i="119"/>
  <c r="J61" i="119" s="1"/>
  <c r="P7" i="119"/>
  <c r="T7" i="119"/>
  <c r="E6" i="67" s="1"/>
  <c r="L7" i="119"/>
  <c r="AK7" i="119"/>
  <c r="AH7" i="119"/>
  <c r="F7" i="119"/>
  <c r="AN7" i="119"/>
  <c r="AE7" i="119"/>
  <c r="AG7" i="119"/>
  <c r="AJ7" i="119"/>
  <c r="AD7" i="119"/>
  <c r="AM7" i="119"/>
  <c r="U7" i="119"/>
  <c r="H6" i="67" s="1"/>
  <c r="I7" i="119"/>
  <c r="J7" i="119" s="1"/>
  <c r="L8" i="119"/>
  <c r="AK8" i="119"/>
  <c r="T8" i="119"/>
  <c r="E7" i="67" s="1"/>
  <c r="AE8" i="119"/>
  <c r="AN8" i="119"/>
  <c r="AH8" i="119"/>
  <c r="F8" i="119"/>
  <c r="P8" i="119"/>
  <c r="AJ8" i="119"/>
  <c r="AM8" i="119"/>
  <c r="AG8" i="119"/>
  <c r="AD8" i="119"/>
  <c r="U8" i="119"/>
  <c r="H7" i="67" s="1"/>
  <c r="I8" i="119"/>
  <c r="J8" i="119" s="1"/>
  <c r="P23" i="119"/>
  <c r="T23" i="119"/>
  <c r="E22" i="67" s="1"/>
  <c r="L23" i="119"/>
  <c r="AK23" i="119"/>
  <c r="F23" i="119"/>
  <c r="AH23" i="119"/>
  <c r="AN23" i="119"/>
  <c r="AE23" i="119"/>
  <c r="AD23" i="119"/>
  <c r="AG23" i="119"/>
  <c r="AJ23" i="119"/>
  <c r="AM23" i="119"/>
  <c r="U23" i="119"/>
  <c r="H22" i="67" s="1"/>
  <c r="I23" i="119"/>
  <c r="J23" i="119" s="1"/>
  <c r="L62" i="119"/>
  <c r="T62" i="119"/>
  <c r="E61" i="67" s="1"/>
  <c r="AN62" i="119"/>
  <c r="AH62" i="119"/>
  <c r="AE62" i="119"/>
  <c r="F62" i="119"/>
  <c r="AK62" i="119"/>
  <c r="P62" i="119"/>
  <c r="AG62" i="119"/>
  <c r="AD62" i="119"/>
  <c r="AJ62" i="119"/>
  <c r="AM62" i="119"/>
  <c r="U62" i="119"/>
  <c r="H61" i="67" s="1"/>
  <c r="I62" i="119"/>
  <c r="J62" i="119" s="1"/>
  <c r="AN28" i="119"/>
  <c r="F28" i="119"/>
  <c r="AK28" i="119"/>
  <c r="L28" i="119"/>
  <c r="AE28" i="119"/>
  <c r="AH28" i="119"/>
  <c r="T28" i="119"/>
  <c r="E27" i="67" s="1"/>
  <c r="P28" i="119"/>
  <c r="AJ28" i="119"/>
  <c r="AM28" i="119"/>
  <c r="AG28" i="119"/>
  <c r="AD28" i="119"/>
  <c r="U28" i="119"/>
  <c r="H27" i="67" s="1"/>
  <c r="I28" i="119"/>
  <c r="J28" i="119" s="1"/>
  <c r="T38" i="119"/>
  <c r="E37" i="67" s="1"/>
  <c r="AE38" i="119"/>
  <c r="F38" i="119"/>
  <c r="AH38" i="119"/>
  <c r="AN38" i="119"/>
  <c r="L38" i="119"/>
  <c r="AK38" i="119"/>
  <c r="P38" i="119"/>
  <c r="AM38" i="119"/>
  <c r="AG38" i="119"/>
  <c r="AD38" i="119"/>
  <c r="AJ38" i="119"/>
  <c r="U38" i="119"/>
  <c r="H37" i="67" s="1"/>
  <c r="I38" i="119"/>
  <c r="J38" i="119" s="1"/>
  <c r="AN51" i="119"/>
  <c r="AE51" i="119"/>
  <c r="T51" i="119"/>
  <c r="E50" i="67" s="1"/>
  <c r="P51" i="119"/>
  <c r="L51" i="119"/>
  <c r="AK51" i="119"/>
  <c r="AH51" i="119"/>
  <c r="F51" i="119"/>
  <c r="AD51" i="119"/>
  <c r="AG51" i="119"/>
  <c r="AM51" i="119"/>
  <c r="AJ51" i="119"/>
  <c r="U51" i="119"/>
  <c r="H50" i="67" s="1"/>
  <c r="I51" i="119"/>
  <c r="J51" i="119" s="1"/>
  <c r="T22" i="119"/>
  <c r="E21" i="67" s="1"/>
  <c r="AH22" i="119"/>
  <c r="AE22" i="119"/>
  <c r="F22" i="119"/>
  <c r="AK22" i="119"/>
  <c r="L22" i="119"/>
  <c r="AN22" i="119"/>
  <c r="P22" i="119"/>
  <c r="AJ22" i="119"/>
  <c r="AD22" i="119"/>
  <c r="AG22" i="119"/>
  <c r="AM22" i="119"/>
  <c r="U22" i="119"/>
  <c r="H21" i="67" s="1"/>
  <c r="I22" i="119"/>
  <c r="J22" i="119" s="1"/>
  <c r="P19" i="119"/>
  <c r="L19" i="119"/>
  <c r="T19" i="119"/>
  <c r="E18" i="67" s="1"/>
  <c r="AE19" i="119"/>
  <c r="AN19" i="119"/>
  <c r="AK19" i="119"/>
  <c r="AH19" i="119"/>
  <c r="F19" i="119"/>
  <c r="AG19" i="119"/>
  <c r="AJ19" i="119"/>
  <c r="AD19" i="119"/>
  <c r="AM19" i="119"/>
  <c r="U19" i="119"/>
  <c r="H18" i="67" s="1"/>
  <c r="I19" i="119"/>
  <c r="J19" i="119" s="1"/>
  <c r="L16" i="119"/>
  <c r="AK16" i="119"/>
  <c r="AE16" i="119"/>
  <c r="F16" i="119"/>
  <c r="T16" i="119"/>
  <c r="E15" i="67" s="1"/>
  <c r="AN16" i="119"/>
  <c r="AH16" i="119"/>
  <c r="P16" i="119"/>
  <c r="AJ16" i="119"/>
  <c r="AM16" i="119"/>
  <c r="AD16" i="119"/>
  <c r="AG16" i="119"/>
  <c r="U16" i="119"/>
  <c r="H15" i="67" s="1"/>
  <c r="I16" i="119"/>
  <c r="J16" i="119" s="1"/>
  <c r="AE37" i="119"/>
  <c r="L37" i="119"/>
  <c r="F37" i="119"/>
  <c r="AN37" i="119"/>
  <c r="T37" i="119"/>
  <c r="E36" i="67" s="1"/>
  <c r="AH37" i="119"/>
  <c r="AK37" i="119"/>
  <c r="P37" i="119"/>
  <c r="AD37" i="119"/>
  <c r="AG37" i="119"/>
  <c r="AM37" i="119"/>
  <c r="AJ37" i="119"/>
  <c r="U37" i="119"/>
  <c r="H36" i="67" s="1"/>
  <c r="I37" i="119"/>
  <c r="J37" i="119" s="1"/>
  <c r="P31" i="119"/>
  <c r="L31" i="119"/>
  <c r="AH31" i="119"/>
  <c r="T31" i="119"/>
  <c r="E30" i="67" s="1"/>
  <c r="AK31" i="119"/>
  <c r="AN31" i="119"/>
  <c r="F31" i="119"/>
  <c r="AE31" i="119"/>
  <c r="AM31" i="119"/>
  <c r="AG31" i="119"/>
  <c r="AD31" i="119"/>
  <c r="AJ31" i="119"/>
  <c r="U31" i="119"/>
  <c r="H30" i="67" s="1"/>
  <c r="I31" i="119"/>
  <c r="J31" i="119" s="1"/>
  <c r="P27" i="119"/>
  <c r="T27" i="119"/>
  <c r="E26" i="67" s="1"/>
  <c r="L27" i="119"/>
  <c r="F27" i="119"/>
  <c r="AE27" i="119"/>
  <c r="AK27" i="119"/>
  <c r="AH27" i="119"/>
  <c r="AN27" i="119"/>
  <c r="AM27" i="119"/>
  <c r="AG27" i="119"/>
  <c r="AJ27" i="119"/>
  <c r="AD27" i="119"/>
  <c r="U27" i="119"/>
  <c r="H26" i="67" s="1"/>
  <c r="I27" i="119"/>
  <c r="J27" i="119" s="1"/>
  <c r="AE53" i="119"/>
  <c r="P53" i="119"/>
  <c r="AH53" i="119"/>
  <c r="L53" i="119"/>
  <c r="T53" i="119"/>
  <c r="E52" i="67" s="1"/>
  <c r="F53" i="119"/>
  <c r="AN53" i="119"/>
  <c r="AK53" i="119"/>
  <c r="AD53" i="119"/>
  <c r="AG53" i="119"/>
  <c r="AJ53" i="119"/>
  <c r="AM53" i="119"/>
  <c r="U53" i="119"/>
  <c r="H52" i="67" s="1"/>
  <c r="I53" i="119"/>
  <c r="J53" i="119" s="1"/>
  <c r="P35" i="119"/>
  <c r="AH35" i="119"/>
  <c r="L35" i="119"/>
  <c r="T35" i="119"/>
  <c r="E34" i="67" s="1"/>
  <c r="AN35" i="119"/>
  <c r="F35" i="119"/>
  <c r="AE35" i="119"/>
  <c r="AK35" i="119"/>
  <c r="AM35" i="119"/>
  <c r="AG35" i="119"/>
  <c r="AD35" i="119"/>
  <c r="AJ35" i="119"/>
  <c r="U35" i="119"/>
  <c r="H34" i="67" s="1"/>
  <c r="I35" i="119"/>
  <c r="J35" i="119" s="1"/>
  <c r="P42" i="119"/>
  <c r="T42" i="119"/>
  <c r="E41" i="67" s="1"/>
  <c r="F42" i="119"/>
  <c r="AN42" i="119"/>
  <c r="L42" i="119"/>
  <c r="AE42" i="119"/>
  <c r="AK42" i="119"/>
  <c r="AH42" i="119"/>
  <c r="AM42" i="119"/>
  <c r="AJ42" i="119"/>
  <c r="AG42" i="119"/>
  <c r="AD42" i="119"/>
  <c r="U42" i="119"/>
  <c r="H41" i="67" s="1"/>
  <c r="I42" i="119"/>
  <c r="J42" i="119" s="1"/>
  <c r="P44" i="119"/>
  <c r="L44" i="119"/>
  <c r="T44" i="119"/>
  <c r="E43" i="67" s="1"/>
  <c r="F44" i="119"/>
  <c r="AE44" i="119"/>
  <c r="AK44" i="119"/>
  <c r="AH44" i="119"/>
  <c r="AN44" i="119"/>
  <c r="AM44" i="119"/>
  <c r="AD44" i="119"/>
  <c r="AJ44" i="119"/>
  <c r="AG44" i="119"/>
  <c r="U44" i="119"/>
  <c r="H43" i="67" s="1"/>
  <c r="I44" i="119"/>
  <c r="J44" i="119" s="1"/>
  <c r="L59" i="119"/>
  <c r="AK59" i="119"/>
  <c r="AN59" i="119"/>
  <c r="P59" i="119"/>
  <c r="F59" i="119"/>
  <c r="T59" i="119"/>
  <c r="E58" i="67" s="1"/>
  <c r="AE59" i="119"/>
  <c r="AH59" i="119"/>
  <c r="AM59" i="119"/>
  <c r="AD59" i="119"/>
  <c r="AG59" i="119"/>
  <c r="AJ59" i="119"/>
  <c r="U59" i="119"/>
  <c r="H58" i="67" s="1"/>
  <c r="I59" i="119"/>
  <c r="J59" i="119" s="1"/>
  <c r="P29" i="119"/>
  <c r="AN29" i="119"/>
  <c r="F29" i="119"/>
  <c r="L29" i="119"/>
  <c r="AE29" i="119"/>
  <c r="T29" i="119"/>
  <c r="E28" i="67" s="1"/>
  <c r="AH29" i="119"/>
  <c r="AK29" i="119"/>
  <c r="AD29" i="119"/>
  <c r="AJ29" i="119"/>
  <c r="AG29" i="119"/>
  <c r="AM29" i="119"/>
  <c r="U29" i="119"/>
  <c r="H28" i="67" s="1"/>
  <c r="I29" i="119"/>
  <c r="J29" i="119" s="1"/>
  <c r="P9" i="119"/>
  <c r="F9" i="119"/>
  <c r="T9" i="119"/>
  <c r="E8" i="67" s="1"/>
  <c r="L9" i="119"/>
  <c r="AN9" i="119"/>
  <c r="AH9" i="119"/>
  <c r="AE9" i="119"/>
  <c r="AK9" i="119"/>
  <c r="AJ9" i="119"/>
  <c r="AG9" i="119"/>
  <c r="AM9" i="119"/>
  <c r="AD9" i="119"/>
  <c r="U9" i="119"/>
  <c r="H8" i="67" s="1"/>
  <c r="I9" i="119"/>
  <c r="J9" i="119" s="1"/>
  <c r="AE34" i="119"/>
  <c r="T34" i="119"/>
  <c r="E33" i="67" s="1"/>
  <c r="AN34" i="119"/>
  <c r="L34" i="119"/>
  <c r="P34" i="119"/>
  <c r="F34" i="119"/>
  <c r="AH34" i="119"/>
  <c r="AK34" i="119"/>
  <c r="AG34" i="119"/>
  <c r="AJ34" i="119"/>
  <c r="AM34" i="119"/>
  <c r="AD34" i="119"/>
  <c r="U34" i="119"/>
  <c r="H33" i="67" s="1"/>
  <c r="I34" i="119"/>
  <c r="J34" i="119" s="1"/>
  <c r="L55" i="119"/>
  <c r="AK55" i="119"/>
  <c r="AN55" i="119"/>
  <c r="F55" i="119"/>
  <c r="P55" i="119"/>
  <c r="T55" i="119"/>
  <c r="E54" i="67" s="1"/>
  <c r="AE55" i="119"/>
  <c r="AH55" i="119"/>
  <c r="AM55" i="119"/>
  <c r="AD55" i="119"/>
  <c r="AG55" i="119"/>
  <c r="AJ55" i="119"/>
  <c r="U55" i="119"/>
  <c r="H54" i="67" s="1"/>
  <c r="I55" i="119"/>
  <c r="J55" i="119" s="1"/>
  <c r="L24" i="119"/>
  <c r="AK24" i="119"/>
  <c r="T24" i="119"/>
  <c r="E23" i="67" s="1"/>
  <c r="AE24" i="119"/>
  <c r="AN24" i="119"/>
  <c r="AH24" i="119"/>
  <c r="F24" i="119"/>
  <c r="P24" i="119"/>
  <c r="AJ24" i="119"/>
  <c r="AM24" i="119"/>
  <c r="AD24" i="119"/>
  <c r="AG24" i="119"/>
  <c r="U24" i="119"/>
  <c r="H23" i="67" s="1"/>
  <c r="I24" i="119"/>
  <c r="J24" i="119" s="1"/>
  <c r="P58" i="119"/>
  <c r="AH58" i="119"/>
  <c r="L58" i="119"/>
  <c r="T58" i="119"/>
  <c r="E57" i="67" s="1"/>
  <c r="AE58" i="119"/>
  <c r="AK58" i="119"/>
  <c r="AN58" i="119"/>
  <c r="F58" i="119"/>
  <c r="AG58" i="119"/>
  <c r="AJ58" i="119"/>
  <c r="AM58" i="119"/>
  <c r="AD58" i="119"/>
  <c r="U58" i="119"/>
  <c r="H57" i="67" s="1"/>
  <c r="I58" i="119"/>
  <c r="J58" i="119" s="1"/>
  <c r="P21" i="119"/>
  <c r="AN21" i="119"/>
  <c r="L21" i="119"/>
  <c r="T21" i="119"/>
  <c r="E20" i="67" s="1"/>
  <c r="F21" i="119"/>
  <c r="AE21" i="119"/>
  <c r="AK21" i="119"/>
  <c r="AH21" i="119"/>
  <c r="AJ21" i="119"/>
  <c r="AG21" i="119"/>
  <c r="AM21" i="119"/>
  <c r="AD21" i="119"/>
  <c r="U21" i="119"/>
  <c r="H20" i="67" s="1"/>
  <c r="I21" i="119"/>
  <c r="J21" i="119" s="1"/>
  <c r="P13" i="119"/>
  <c r="L13" i="119"/>
  <c r="AN13" i="119"/>
  <c r="T13" i="119"/>
  <c r="E12" i="67" s="1"/>
  <c r="F13" i="119"/>
  <c r="AE13" i="119"/>
  <c r="AK13" i="119"/>
  <c r="AH13" i="119"/>
  <c r="AJ13" i="119"/>
  <c r="AG13" i="119"/>
  <c r="AM13" i="119"/>
  <c r="AD13" i="119"/>
  <c r="U13" i="119"/>
  <c r="H12" i="67" s="1"/>
  <c r="I13" i="119"/>
  <c r="J13" i="119" s="1"/>
  <c r="L12" i="119"/>
  <c r="AK12" i="119"/>
  <c r="AH12" i="119"/>
  <c r="P12" i="119"/>
  <c r="AE12" i="119"/>
  <c r="AN12" i="119"/>
  <c r="T12" i="119"/>
  <c r="E11" i="67" s="1"/>
  <c r="F12" i="119"/>
  <c r="AJ12" i="119"/>
  <c r="AM12" i="119"/>
  <c r="AG12" i="119"/>
  <c r="AD12" i="119"/>
  <c r="U12" i="119"/>
  <c r="H11" i="67" s="1"/>
  <c r="I12" i="119"/>
  <c r="J12" i="119" s="1"/>
  <c r="L45" i="119"/>
  <c r="AK45" i="119"/>
  <c r="AH45" i="119"/>
  <c r="AN45" i="119"/>
  <c r="P45" i="119"/>
  <c r="T45" i="119"/>
  <c r="E44" i="67" s="1"/>
  <c r="AE45" i="119"/>
  <c r="F45" i="119"/>
  <c r="AM45" i="119"/>
  <c r="AJ45" i="119"/>
  <c r="AD45" i="119"/>
  <c r="AG45" i="119"/>
  <c r="U45" i="119"/>
  <c r="H44" i="67" s="1"/>
  <c r="I45" i="119"/>
  <c r="J45" i="119" s="1"/>
  <c r="L63" i="119"/>
  <c r="AK63" i="119"/>
  <c r="AN63" i="119"/>
  <c r="AH63" i="119"/>
  <c r="P63" i="119"/>
  <c r="AE63" i="119"/>
  <c r="T63" i="119"/>
  <c r="E62" i="67" s="1"/>
  <c r="F63" i="119"/>
  <c r="AM63" i="119"/>
  <c r="AD63" i="119"/>
  <c r="AG63" i="119"/>
  <c r="AJ63" i="119"/>
  <c r="U63" i="119"/>
  <c r="H62" i="67" s="1"/>
  <c r="I63" i="119"/>
  <c r="J63" i="119" s="1"/>
  <c r="P60" i="119"/>
  <c r="F60" i="119"/>
  <c r="AN60" i="119"/>
  <c r="T60" i="119"/>
  <c r="E59" i="67" s="1"/>
  <c r="L60" i="119"/>
  <c r="AE60" i="119"/>
  <c r="AK60" i="119"/>
  <c r="AH60" i="119"/>
  <c r="AD60" i="119"/>
  <c r="AG60" i="119"/>
  <c r="AJ60" i="119"/>
  <c r="AM60" i="119"/>
  <c r="U60" i="119"/>
  <c r="H59" i="67" s="1"/>
  <c r="I60" i="119"/>
  <c r="J60" i="119" s="1"/>
  <c r="P50" i="119"/>
  <c r="L50" i="119"/>
  <c r="T50" i="119"/>
  <c r="E49" i="67" s="1"/>
  <c r="F50" i="119"/>
  <c r="AH50" i="119"/>
  <c r="AK50" i="119"/>
  <c r="AN50" i="119"/>
  <c r="AE50" i="119"/>
  <c r="AG50" i="119"/>
  <c r="AM50" i="119"/>
  <c r="AJ50" i="119"/>
  <c r="AD50" i="119"/>
  <c r="U50" i="119"/>
  <c r="H49" i="67" s="1"/>
  <c r="I50" i="119"/>
  <c r="J50" i="119" s="1"/>
  <c r="T43" i="119"/>
  <c r="E42" i="67" s="1"/>
  <c r="AK43" i="119"/>
  <c r="P43" i="119"/>
  <c r="AN43" i="119"/>
  <c r="AE43" i="119"/>
  <c r="F43" i="119"/>
  <c r="L43" i="119"/>
  <c r="AH43" i="119"/>
  <c r="AM43" i="119"/>
  <c r="AJ43" i="119"/>
  <c r="AG43" i="119"/>
  <c r="AD43" i="119"/>
  <c r="U43" i="119"/>
  <c r="H42" i="67" s="1"/>
  <c r="I43" i="119"/>
  <c r="J43" i="119" s="1"/>
  <c r="P52" i="119"/>
  <c r="F52" i="119"/>
  <c r="T52" i="119"/>
  <c r="E51" i="67" s="1"/>
  <c r="L52" i="119"/>
  <c r="AN52" i="119"/>
  <c r="AE52" i="119"/>
  <c r="AK52" i="119"/>
  <c r="AH52" i="119"/>
  <c r="AD52" i="119"/>
  <c r="AG52" i="119"/>
  <c r="AM52" i="119"/>
  <c r="AJ52" i="119"/>
  <c r="U52" i="119"/>
  <c r="H51" i="67" s="1"/>
  <c r="I52" i="119"/>
  <c r="J52" i="119" s="1"/>
  <c r="AE36" i="119"/>
  <c r="F36" i="119"/>
  <c r="AN36" i="119"/>
  <c r="AK36" i="119"/>
  <c r="L36" i="119"/>
  <c r="T36" i="119"/>
  <c r="E35" i="67" s="1"/>
  <c r="AH36" i="119"/>
  <c r="P36" i="119"/>
  <c r="AJ36" i="119"/>
  <c r="AG36" i="119"/>
  <c r="AM36" i="119"/>
  <c r="AD36" i="119"/>
  <c r="U36" i="119"/>
  <c r="H35" i="67" s="1"/>
  <c r="I36" i="119"/>
  <c r="J36" i="119" s="1"/>
  <c r="P56" i="119"/>
  <c r="T56" i="119"/>
  <c r="E55" i="67" s="1"/>
  <c r="F56" i="119"/>
  <c r="AN56" i="119"/>
  <c r="L56" i="119"/>
  <c r="AK56" i="119"/>
  <c r="AH56" i="119"/>
  <c r="AE56" i="119"/>
  <c r="AD56" i="119"/>
  <c r="AG56" i="119"/>
  <c r="AM56" i="119"/>
  <c r="AJ56" i="119"/>
  <c r="U56" i="119"/>
  <c r="H55" i="67" s="1"/>
  <c r="I56" i="119"/>
  <c r="J56" i="119" s="1"/>
  <c r="T10" i="119"/>
  <c r="E9" i="67" s="1"/>
  <c r="L10" i="119"/>
  <c r="AN10" i="119"/>
  <c r="AH10" i="119"/>
  <c r="P10" i="119"/>
  <c r="AK10" i="119"/>
  <c r="AE10" i="119"/>
  <c r="F10" i="119"/>
  <c r="AJ10" i="119"/>
  <c r="AM10" i="119"/>
  <c r="AD10" i="119"/>
  <c r="AG10" i="119"/>
  <c r="U10" i="119"/>
  <c r="H9" i="67" s="1"/>
  <c r="I10" i="119"/>
  <c r="J10" i="119" s="1"/>
  <c r="AE33" i="119"/>
  <c r="F33" i="119"/>
  <c r="AN33" i="119"/>
  <c r="L33" i="119"/>
  <c r="AH33" i="119"/>
  <c r="T33" i="119"/>
  <c r="E32" i="67" s="1"/>
  <c r="P33" i="119"/>
  <c r="AK33" i="119"/>
  <c r="AJ33" i="119"/>
  <c r="AD33" i="119"/>
  <c r="AG33" i="119"/>
  <c r="AM33" i="119"/>
  <c r="U33" i="119"/>
  <c r="H32" i="67" s="1"/>
  <c r="I33" i="119"/>
  <c r="J33" i="119" s="1"/>
  <c r="P46" i="119"/>
  <c r="AN46" i="119"/>
  <c r="L46" i="119"/>
  <c r="T46" i="119"/>
  <c r="E45" i="67" s="1"/>
  <c r="F46" i="119"/>
  <c r="AE46" i="119"/>
  <c r="AH46" i="119"/>
  <c r="AK46" i="119"/>
  <c r="AM46" i="119"/>
  <c r="AG46" i="119"/>
  <c r="AJ46" i="119"/>
  <c r="AD46" i="119"/>
  <c r="U46" i="119"/>
  <c r="H45" i="67" s="1"/>
  <c r="I46" i="119"/>
  <c r="J46" i="119" s="1"/>
  <c r="P17" i="119"/>
  <c r="T17" i="119"/>
  <c r="E16" i="67" s="1"/>
  <c r="F17" i="119"/>
  <c r="L17" i="119"/>
  <c r="AN17" i="119"/>
  <c r="AE17" i="119"/>
  <c r="AK17" i="119"/>
  <c r="AH17" i="119"/>
  <c r="AG17" i="119"/>
  <c r="AM17" i="119"/>
  <c r="AD17" i="119"/>
  <c r="AJ17" i="119"/>
  <c r="U17" i="119"/>
  <c r="H16" i="67" s="1"/>
  <c r="I17" i="119"/>
  <c r="J17" i="119" s="1"/>
  <c r="P26" i="119"/>
  <c r="AH26" i="119"/>
  <c r="AN26" i="119"/>
  <c r="T26" i="119"/>
  <c r="E25" i="67" s="1"/>
  <c r="AE26" i="119"/>
  <c r="L26" i="119"/>
  <c r="AK26" i="119"/>
  <c r="F26" i="119"/>
  <c r="AG26" i="119"/>
  <c r="AD26" i="119"/>
  <c r="AJ26" i="119"/>
  <c r="AM26" i="119"/>
  <c r="U26" i="119"/>
  <c r="H25" i="67" s="1"/>
  <c r="I26" i="119"/>
  <c r="J26" i="119" s="1"/>
  <c r="E65" i="119"/>
  <c r="F65" i="119" s="1"/>
  <c r="F6" i="119"/>
  <c r="AK6" i="119"/>
  <c r="AE6" i="119"/>
  <c r="T6" i="119"/>
  <c r="L6" i="119"/>
  <c r="AH6" i="119"/>
  <c r="AN6" i="119"/>
  <c r="P6" i="119"/>
  <c r="AJ6" i="119"/>
  <c r="AD6" i="119"/>
  <c r="AG6" i="119"/>
  <c r="AM6" i="119"/>
  <c r="U6" i="119"/>
  <c r="I6" i="119"/>
  <c r="P11" i="119"/>
  <c r="L11" i="119"/>
  <c r="T11" i="119"/>
  <c r="E10" i="67" s="1"/>
  <c r="AH11" i="119"/>
  <c r="AN11" i="119"/>
  <c r="AK11" i="119"/>
  <c r="AE11" i="119"/>
  <c r="F11" i="119"/>
  <c r="AD11" i="119"/>
  <c r="AG11" i="119"/>
  <c r="AJ11" i="119"/>
  <c r="AM11" i="119"/>
  <c r="U11" i="119"/>
  <c r="H10" i="67" s="1"/>
  <c r="I11" i="119"/>
  <c r="J11" i="119" s="1"/>
  <c r="P40" i="119"/>
  <c r="F40" i="119"/>
  <c r="T40" i="119"/>
  <c r="E39" i="67" s="1"/>
  <c r="L40" i="119"/>
  <c r="AE40" i="119"/>
  <c r="AH40" i="119"/>
  <c r="AK40" i="119"/>
  <c r="AN40" i="119"/>
  <c r="AM40" i="119"/>
  <c r="AJ40" i="119"/>
  <c r="AG40" i="119"/>
  <c r="AD40" i="119"/>
  <c r="U40" i="119"/>
  <c r="H39" i="67" s="1"/>
  <c r="I40" i="119"/>
  <c r="J40" i="119" s="1"/>
  <c r="AE39" i="119"/>
  <c r="AK39" i="119"/>
  <c r="L39" i="119"/>
  <c r="F39" i="119"/>
  <c r="AN39" i="119"/>
  <c r="AH39" i="119"/>
  <c r="T39" i="119"/>
  <c r="E38" i="67" s="1"/>
  <c r="P39" i="119"/>
  <c r="AJ39" i="119"/>
  <c r="AM39" i="119"/>
  <c r="AD39" i="119"/>
  <c r="AG39" i="119"/>
  <c r="U39" i="119"/>
  <c r="H38" i="67" s="1"/>
  <c r="I39" i="119"/>
  <c r="J39" i="119" s="1"/>
  <c r="AN32" i="119"/>
  <c r="AK32" i="119"/>
  <c r="F32" i="119"/>
  <c r="L32" i="119"/>
  <c r="AE32" i="119"/>
  <c r="AH32" i="119"/>
  <c r="T32" i="119"/>
  <c r="E31" i="67" s="1"/>
  <c r="P32" i="119"/>
  <c r="AJ32" i="119"/>
  <c r="AG32" i="119"/>
  <c r="AM32" i="119"/>
  <c r="AD32" i="119"/>
  <c r="U32" i="119"/>
  <c r="H31" i="67" s="1"/>
  <c r="I32" i="119"/>
  <c r="J32" i="119" s="1"/>
  <c r="P15" i="119"/>
  <c r="T15" i="119"/>
  <c r="E14" i="67" s="1"/>
  <c r="L15" i="119"/>
  <c r="AK15" i="119"/>
  <c r="AH15" i="119"/>
  <c r="AE15" i="119"/>
  <c r="F15" i="119"/>
  <c r="AN15" i="119"/>
  <c r="AD15" i="119"/>
  <c r="AG15" i="119"/>
  <c r="AJ15" i="119"/>
  <c r="AM15" i="119"/>
  <c r="U15" i="119"/>
  <c r="H14" i="67" s="1"/>
  <c r="I15" i="119"/>
  <c r="J15" i="119" s="1"/>
  <c r="P47" i="119"/>
  <c r="AE47" i="119"/>
  <c r="AK47" i="119"/>
  <c r="AN47" i="119"/>
  <c r="T47" i="119"/>
  <c r="E46" i="67" s="1"/>
  <c r="AH47" i="119"/>
  <c r="L47" i="119"/>
  <c r="F47" i="119"/>
  <c r="AJ47" i="119"/>
  <c r="AG47" i="119"/>
  <c r="AD47" i="119"/>
  <c r="AM47" i="119"/>
  <c r="U47" i="119"/>
  <c r="H46" i="67" s="1"/>
  <c r="I47" i="119"/>
  <c r="J47" i="119" s="1"/>
  <c r="P54" i="119"/>
  <c r="L54" i="119"/>
  <c r="AH54" i="119"/>
  <c r="T54" i="119"/>
  <c r="E53" i="67" s="1"/>
  <c r="F54" i="119"/>
  <c r="AE54" i="119"/>
  <c r="AK54" i="119"/>
  <c r="AN54" i="119"/>
  <c r="AG54" i="119"/>
  <c r="AJ54" i="119"/>
  <c r="AM54" i="119"/>
  <c r="AD54" i="119"/>
  <c r="U54" i="119"/>
  <c r="H53" i="67" s="1"/>
  <c r="I54" i="119"/>
  <c r="J54" i="119" s="1"/>
  <c r="L49" i="119"/>
  <c r="AE49" i="119"/>
  <c r="T49" i="119"/>
  <c r="E48" i="67" s="1"/>
  <c r="AN49" i="119"/>
  <c r="F49" i="119"/>
  <c r="P49" i="119"/>
  <c r="AH49" i="119"/>
  <c r="AK49" i="119"/>
  <c r="AM49" i="119"/>
  <c r="AG49" i="119"/>
  <c r="AD49" i="119"/>
  <c r="AJ49" i="119"/>
  <c r="U49" i="119"/>
  <c r="H48" i="67" s="1"/>
  <c r="I49" i="119"/>
  <c r="J49" i="119" s="1"/>
  <c r="AE57" i="119"/>
  <c r="P57" i="119"/>
  <c r="AH57" i="119"/>
  <c r="F57" i="119"/>
  <c r="AK57" i="119"/>
  <c r="T57" i="119"/>
  <c r="E56" i="67" s="1"/>
  <c r="AN57" i="119"/>
  <c r="L57" i="119"/>
  <c r="AD57" i="119"/>
  <c r="AG57" i="119"/>
  <c r="AJ57" i="119"/>
  <c r="AM57" i="119"/>
  <c r="U57" i="119"/>
  <c r="H56" i="67" s="1"/>
  <c r="I57" i="119"/>
  <c r="J57" i="119" s="1"/>
  <c r="T14" i="119"/>
  <c r="E13" i="67" s="1"/>
  <c r="AN14" i="119"/>
  <c r="AK14" i="119"/>
  <c r="P14" i="119"/>
  <c r="AH14" i="119"/>
  <c r="AE14" i="119"/>
  <c r="F14" i="119"/>
  <c r="L14" i="119"/>
  <c r="AJ14" i="119"/>
  <c r="AD14" i="119"/>
  <c r="AG14" i="119"/>
  <c r="AM14" i="119"/>
  <c r="U14" i="119"/>
  <c r="H13" i="67" s="1"/>
  <c r="I14" i="119"/>
  <c r="J14" i="119" s="1"/>
  <c r="T18" i="119"/>
  <c r="E17" i="67" s="1"/>
  <c r="AH18" i="119"/>
  <c r="F18" i="119"/>
  <c r="AE18" i="119"/>
  <c r="P18" i="119"/>
  <c r="L18" i="119"/>
  <c r="AK18" i="119"/>
  <c r="AN18" i="119"/>
  <c r="AJ18" i="119"/>
  <c r="AD18" i="119"/>
  <c r="AG18" i="119"/>
  <c r="AM18" i="119"/>
  <c r="U18" i="119"/>
  <c r="H17" i="67" s="1"/>
  <c r="I18" i="119"/>
  <c r="J18" i="119" s="1"/>
  <c r="P48" i="119"/>
  <c r="L48" i="119"/>
  <c r="AH48" i="119"/>
  <c r="T48" i="119"/>
  <c r="E47" i="67" s="1"/>
  <c r="AK48" i="119"/>
  <c r="AN48" i="119"/>
  <c r="F48" i="119"/>
  <c r="AE48" i="119"/>
  <c r="AM48" i="119"/>
  <c r="AJ48" i="119"/>
  <c r="AG48" i="119"/>
  <c r="AD48" i="119"/>
  <c r="U48" i="119"/>
  <c r="H47" i="67" s="1"/>
  <c r="I48" i="119"/>
  <c r="J48" i="119" s="1"/>
  <c r="J8" i="97"/>
  <c r="K8" i="97" s="1"/>
  <c r="AE6" i="109"/>
  <c r="AE51" i="109"/>
  <c r="AF51" i="109"/>
  <c r="F51" i="109"/>
  <c r="J51" i="109"/>
  <c r="F22" i="109"/>
  <c r="AF22" i="109"/>
  <c r="AE22" i="109"/>
  <c r="J22" i="109"/>
  <c r="AF39" i="109"/>
  <c r="AE39" i="109"/>
  <c r="F39" i="109"/>
  <c r="J39" i="109"/>
  <c r="AE15" i="109"/>
  <c r="F15" i="109"/>
  <c r="AF15" i="109"/>
  <c r="J15" i="109"/>
  <c r="AE54" i="109"/>
  <c r="AF54" i="109"/>
  <c r="F54" i="109"/>
  <c r="J54" i="109"/>
  <c r="AF16" i="109"/>
  <c r="F16" i="109"/>
  <c r="AE16" i="109"/>
  <c r="J16" i="109"/>
  <c r="AF31" i="109"/>
  <c r="F31" i="109"/>
  <c r="AE31" i="109"/>
  <c r="J31" i="109"/>
  <c r="AE27" i="109"/>
  <c r="AF27" i="109"/>
  <c r="F27" i="109"/>
  <c r="J27" i="109"/>
  <c r="AE42" i="109"/>
  <c r="AF42" i="109"/>
  <c r="F42" i="109"/>
  <c r="J42" i="109"/>
  <c r="F30" i="109"/>
  <c r="AE30" i="109"/>
  <c r="AF30" i="109"/>
  <c r="J30" i="109"/>
  <c r="AF13" i="109"/>
  <c r="F13" i="109"/>
  <c r="AE13" i="109"/>
  <c r="J13" i="109"/>
  <c r="AE52" i="109"/>
  <c r="AF52" i="109"/>
  <c r="F52" i="109"/>
  <c r="J52" i="109"/>
  <c r="AF41" i="109"/>
  <c r="AE41" i="109"/>
  <c r="F41" i="109"/>
  <c r="J41" i="109"/>
  <c r="F36" i="109"/>
  <c r="AE36" i="109"/>
  <c r="AF36" i="109"/>
  <c r="J36" i="109"/>
  <c r="AE20" i="109"/>
  <c r="AF20" i="109"/>
  <c r="F20" i="109"/>
  <c r="J20" i="109"/>
  <c r="AF45" i="109"/>
  <c r="AE45" i="109"/>
  <c r="F45" i="109"/>
  <c r="J45" i="109"/>
  <c r="AF25" i="109"/>
  <c r="AE25" i="109"/>
  <c r="F25" i="109"/>
  <c r="J25" i="109"/>
  <c r="AF56" i="109"/>
  <c r="AE56" i="109"/>
  <c r="F56" i="109"/>
  <c r="J56" i="109"/>
  <c r="F63" i="109"/>
  <c r="AE63" i="109"/>
  <c r="AF63" i="109"/>
  <c r="J63" i="109"/>
  <c r="AE61" i="109"/>
  <c r="F61" i="109"/>
  <c r="AF61" i="109"/>
  <c r="J61" i="109"/>
  <c r="AE7" i="109"/>
  <c r="F7" i="109"/>
  <c r="AF7" i="109"/>
  <c r="J7" i="109"/>
  <c r="AE8" i="109"/>
  <c r="F8" i="109"/>
  <c r="AF8" i="109"/>
  <c r="J8" i="109"/>
  <c r="AF60" i="109"/>
  <c r="AE60" i="109"/>
  <c r="F60" i="109"/>
  <c r="J60" i="109"/>
  <c r="F10" i="109"/>
  <c r="AE10" i="109"/>
  <c r="AF10" i="109"/>
  <c r="J10" i="109"/>
  <c r="AF23" i="109"/>
  <c r="AE23" i="109"/>
  <c r="F23" i="109"/>
  <c r="J23" i="109"/>
  <c r="AE33" i="109"/>
  <c r="AF33" i="109"/>
  <c r="F33" i="109"/>
  <c r="J33" i="109"/>
  <c r="AF50" i="109"/>
  <c r="F50" i="109"/>
  <c r="AE50" i="109"/>
  <c r="J50" i="109"/>
  <c r="F46" i="109"/>
  <c r="AE46" i="109"/>
  <c r="AF46" i="109"/>
  <c r="J46" i="109"/>
  <c r="AF62" i="109"/>
  <c r="AE62" i="109"/>
  <c r="F62" i="109"/>
  <c r="J62" i="109"/>
  <c r="F17" i="109"/>
  <c r="AE17" i="109"/>
  <c r="AF17" i="109"/>
  <c r="J17" i="109"/>
  <c r="F28" i="109"/>
  <c r="AF28" i="109"/>
  <c r="AE28" i="109"/>
  <c r="J28" i="109"/>
  <c r="AE43" i="109"/>
  <c r="F43" i="109"/>
  <c r="AF43" i="109"/>
  <c r="J43" i="109"/>
  <c r="AF26" i="109"/>
  <c r="AE26" i="109"/>
  <c r="F26" i="109"/>
  <c r="J26" i="109"/>
  <c r="F38" i="109"/>
  <c r="AE38" i="109"/>
  <c r="AF38" i="109"/>
  <c r="J38" i="109"/>
  <c r="E65" i="109"/>
  <c r="F65" i="109" s="1"/>
  <c r="F6" i="109"/>
  <c r="AF6" i="109"/>
  <c r="AE40" i="109"/>
  <c r="AF40" i="109"/>
  <c r="F40" i="109"/>
  <c r="J40" i="109"/>
  <c r="F47" i="109"/>
  <c r="AE47" i="109"/>
  <c r="AF47" i="109"/>
  <c r="J47" i="109"/>
  <c r="AE49" i="109"/>
  <c r="AF49" i="109"/>
  <c r="F49" i="109"/>
  <c r="J49" i="109"/>
  <c r="AE14" i="109"/>
  <c r="AF14" i="109"/>
  <c r="F14" i="109"/>
  <c r="J14" i="109"/>
  <c r="AE18" i="109"/>
  <c r="AF18" i="109"/>
  <c r="F18" i="109"/>
  <c r="J18" i="109"/>
  <c r="F19" i="109"/>
  <c r="AF19" i="109"/>
  <c r="AE19" i="109"/>
  <c r="J19" i="109"/>
  <c r="F53" i="109"/>
  <c r="AF53" i="109"/>
  <c r="AE53" i="109"/>
  <c r="J53" i="109"/>
  <c r="AF44" i="109"/>
  <c r="AE44" i="109"/>
  <c r="F44" i="109"/>
  <c r="J44" i="109"/>
  <c r="F59" i="109"/>
  <c r="AF59" i="109"/>
  <c r="AE59" i="109"/>
  <c r="J59" i="109"/>
  <c r="AF29" i="109"/>
  <c r="AE29" i="109"/>
  <c r="F29" i="109"/>
  <c r="J29" i="109"/>
  <c r="F9" i="109"/>
  <c r="AF9" i="109"/>
  <c r="AE9" i="109"/>
  <c r="J9" i="109"/>
  <c r="AE34" i="109"/>
  <c r="F34" i="109"/>
  <c r="AF34" i="109"/>
  <c r="J34" i="109"/>
  <c r="AF55" i="109"/>
  <c r="F55" i="109"/>
  <c r="AE55" i="109"/>
  <c r="J55" i="109"/>
  <c r="AE24" i="109"/>
  <c r="F24" i="109"/>
  <c r="AF24" i="109"/>
  <c r="J24" i="109"/>
  <c r="F11" i="109"/>
  <c r="AE11" i="109"/>
  <c r="AF11" i="109"/>
  <c r="J11" i="109"/>
  <c r="AF32" i="109"/>
  <c r="AE32" i="109"/>
  <c r="F32" i="109"/>
  <c r="J32" i="109"/>
  <c r="AF57" i="109"/>
  <c r="AE57" i="109"/>
  <c r="F57" i="109"/>
  <c r="J57" i="109"/>
  <c r="F48" i="109"/>
  <c r="AE48" i="109"/>
  <c r="AF48" i="109"/>
  <c r="J48" i="109"/>
  <c r="F37" i="109"/>
  <c r="AF37" i="109"/>
  <c r="AE37" i="109"/>
  <c r="J37" i="109"/>
  <c r="AF35" i="109"/>
  <c r="F35" i="109"/>
  <c r="AE35" i="109"/>
  <c r="J35" i="109"/>
  <c r="F58" i="109"/>
  <c r="AF58" i="109"/>
  <c r="AE58" i="109"/>
  <c r="J58" i="109"/>
  <c r="F12" i="109"/>
  <c r="AF12" i="109"/>
  <c r="AE12" i="109"/>
  <c r="J12" i="109"/>
  <c r="F21" i="109"/>
  <c r="AE21" i="109"/>
  <c r="AF21" i="109"/>
  <c r="J21" i="109"/>
  <c r="EL65" i="97"/>
  <c r="M8" i="97"/>
  <c r="L65" i="97"/>
  <c r="J65" i="97"/>
  <c r="I66" i="97"/>
  <c r="J26" i="97"/>
  <c r="J47" i="97"/>
  <c r="J22" i="97"/>
  <c r="J60" i="97"/>
  <c r="J58" i="97"/>
  <c r="J55" i="97"/>
  <c r="J46" i="97"/>
  <c r="J50" i="97"/>
  <c r="J48" i="97"/>
  <c r="J64" i="97"/>
  <c r="J42" i="97"/>
  <c r="J18" i="97"/>
  <c r="J45" i="97"/>
  <c r="J39" i="97"/>
  <c r="J25" i="97"/>
  <c r="J40" i="97"/>
  <c r="J63" i="97"/>
  <c r="J57" i="97"/>
  <c r="J34" i="97"/>
  <c r="J21" i="97"/>
  <c r="J27" i="97"/>
  <c r="J10" i="97"/>
  <c r="J36" i="97"/>
  <c r="J30" i="97"/>
  <c r="J62" i="97"/>
  <c r="J29" i="97"/>
  <c r="J16" i="97"/>
  <c r="J35" i="97"/>
  <c r="J43" i="97"/>
  <c r="J19" i="97"/>
  <c r="J56" i="97"/>
  <c r="J13" i="97"/>
  <c r="J37" i="97"/>
  <c r="J44" i="97"/>
  <c r="J51" i="97"/>
  <c r="J33" i="97"/>
  <c r="J15" i="97"/>
  <c r="J54" i="97"/>
  <c r="J49" i="97"/>
  <c r="J7" i="97"/>
  <c r="J23" i="97"/>
  <c r="J24" i="97"/>
  <c r="J32" i="97"/>
  <c r="J17" i="97"/>
  <c r="J14" i="97"/>
  <c r="J20" i="97"/>
  <c r="J28" i="97"/>
  <c r="J12" i="97"/>
  <c r="J11" i="97"/>
  <c r="J38" i="97"/>
  <c r="J31" i="97"/>
  <c r="J9" i="97"/>
  <c r="J61" i="97"/>
  <c r="J59" i="97"/>
  <c r="J52" i="97"/>
  <c r="J53" i="97"/>
  <c r="J41" i="97"/>
  <c r="D27" i="90"/>
  <c r="D33" i="90"/>
  <c r="D28" i="90"/>
  <c r="D53" i="90"/>
  <c r="D21" i="90"/>
  <c r="D32" i="90"/>
  <c r="D34" i="90"/>
  <c r="D36" i="90"/>
  <c r="D63" i="90"/>
  <c r="D54" i="90"/>
  <c r="D59" i="90"/>
  <c r="D38" i="90"/>
  <c r="D47" i="90"/>
  <c r="D12" i="90"/>
  <c r="D25" i="90"/>
  <c r="D43" i="90"/>
  <c r="D26" i="90"/>
  <c r="D50" i="90"/>
  <c r="D45" i="90"/>
  <c r="D61" i="90"/>
  <c r="D62" i="90"/>
  <c r="D55" i="90"/>
  <c r="D29" i="90"/>
  <c r="D18" i="90"/>
  <c r="D57" i="90"/>
  <c r="D35" i="90"/>
  <c r="D42" i="90"/>
  <c r="D24" i="90"/>
  <c r="D14" i="90"/>
  <c r="D46" i="90"/>
  <c r="D15" i="90"/>
  <c r="D56" i="90"/>
  <c r="D17" i="90"/>
  <c r="D41" i="90"/>
  <c r="D39" i="90"/>
  <c r="D9" i="90"/>
  <c r="D44" i="90"/>
  <c r="D49" i="90"/>
  <c r="D20" i="90"/>
  <c r="D6" i="90"/>
  <c r="D48" i="90"/>
  <c r="D23" i="90"/>
  <c r="D22" i="90"/>
  <c r="D30" i="90"/>
  <c r="D10" i="90"/>
  <c r="D11" i="90"/>
  <c r="D19" i="90"/>
  <c r="D60" i="90"/>
  <c r="D31" i="90"/>
  <c r="D58" i="90"/>
  <c r="D8" i="90"/>
  <c r="D40" i="90"/>
  <c r="D37" i="90"/>
  <c r="D51" i="90"/>
  <c r="D13" i="90"/>
  <c r="D16" i="90"/>
  <c r="D52" i="90"/>
  <c r="H5" i="67" l="1"/>
  <c r="U65" i="119"/>
  <c r="AJ65" i="119"/>
  <c r="L65" i="119"/>
  <c r="C16" i="67"/>
  <c r="C32" i="67"/>
  <c r="C55" i="67"/>
  <c r="C51" i="67"/>
  <c r="C49" i="67"/>
  <c r="C62" i="67"/>
  <c r="C11" i="67"/>
  <c r="C20" i="67"/>
  <c r="C23" i="67"/>
  <c r="C33" i="67"/>
  <c r="C28" i="67"/>
  <c r="C43" i="67"/>
  <c r="C34" i="67"/>
  <c r="C26" i="67"/>
  <c r="C36" i="67"/>
  <c r="C18" i="67"/>
  <c r="C50" i="67"/>
  <c r="C27" i="67"/>
  <c r="C22" i="67"/>
  <c r="C6" i="67"/>
  <c r="C24" i="67"/>
  <c r="C40" i="67"/>
  <c r="C17" i="67"/>
  <c r="C56" i="67"/>
  <c r="C53" i="67"/>
  <c r="C14" i="67"/>
  <c r="C38" i="67"/>
  <c r="C10" i="67"/>
  <c r="AM65" i="119"/>
  <c r="P65" i="119"/>
  <c r="E5" i="67"/>
  <c r="T65" i="119"/>
  <c r="AG65" i="119"/>
  <c r="AN65" i="119"/>
  <c r="AE65" i="119"/>
  <c r="C25" i="67"/>
  <c r="C45" i="67"/>
  <c r="C9" i="67"/>
  <c r="C35" i="67"/>
  <c r="C42" i="67"/>
  <c r="C59" i="67"/>
  <c r="C44" i="67"/>
  <c r="C12" i="67"/>
  <c r="C57" i="67"/>
  <c r="C54" i="67"/>
  <c r="C8" i="67"/>
  <c r="C58" i="67"/>
  <c r="C41" i="67"/>
  <c r="C52" i="67"/>
  <c r="C30" i="67"/>
  <c r="C15" i="67"/>
  <c r="C21" i="67"/>
  <c r="C37" i="67"/>
  <c r="C61" i="67"/>
  <c r="C7" i="67"/>
  <c r="C60" i="67"/>
  <c r="C19" i="67"/>
  <c r="C29" i="67"/>
  <c r="C47" i="67"/>
  <c r="C13" i="67"/>
  <c r="C48" i="67"/>
  <c r="C46" i="67"/>
  <c r="C31" i="67"/>
  <c r="C39" i="67"/>
  <c r="J6" i="119"/>
  <c r="I65" i="119"/>
  <c r="AD65" i="119"/>
  <c r="AH65" i="119"/>
  <c r="AK65" i="119"/>
  <c r="AF65" i="109"/>
  <c r="N8" i="97"/>
  <c r="P65" i="109"/>
  <c r="L65" i="109"/>
  <c r="T65" i="109"/>
  <c r="I65" i="109"/>
  <c r="J6" i="109"/>
  <c r="AE65" i="109"/>
  <c r="M65" i="97"/>
  <c r="K32" i="97"/>
  <c r="N32" i="97"/>
  <c r="K16" i="97"/>
  <c r="N16" i="97"/>
  <c r="K34" i="97"/>
  <c r="N34" i="97"/>
  <c r="K14" i="97"/>
  <c r="N14" i="97"/>
  <c r="K27" i="97"/>
  <c r="N27" i="97"/>
  <c r="K59" i="97"/>
  <c r="N59" i="97"/>
  <c r="K20" i="97"/>
  <c r="N20" i="97"/>
  <c r="K54" i="97"/>
  <c r="N54" i="97"/>
  <c r="K19" i="97"/>
  <c r="N19" i="97"/>
  <c r="K52" i="97"/>
  <c r="N52" i="97"/>
  <c r="K28" i="97"/>
  <c r="N28" i="97"/>
  <c r="K49" i="97"/>
  <c r="N49" i="97"/>
  <c r="K56" i="97"/>
  <c r="N56" i="97"/>
  <c r="K36" i="97"/>
  <c r="N36" i="97"/>
  <c r="K25" i="97"/>
  <c r="N25" i="97"/>
  <c r="K46" i="97"/>
  <c r="N46" i="97"/>
  <c r="K31" i="97"/>
  <c r="N31" i="97"/>
  <c r="K22" i="97"/>
  <c r="N22" i="97"/>
  <c r="K33" i="97"/>
  <c r="N33" i="97"/>
  <c r="K21" i="97"/>
  <c r="N21" i="97"/>
  <c r="K15" i="97"/>
  <c r="N15" i="97"/>
  <c r="K58" i="97"/>
  <c r="N58" i="97"/>
  <c r="K55" i="97"/>
  <c r="N55" i="97"/>
  <c r="K53" i="97"/>
  <c r="N53" i="97"/>
  <c r="K12" i="97"/>
  <c r="N12" i="97"/>
  <c r="K7" i="97"/>
  <c r="N7" i="97"/>
  <c r="K13" i="97"/>
  <c r="N13" i="97"/>
  <c r="K30" i="97"/>
  <c r="N30" i="97"/>
  <c r="K40" i="97"/>
  <c r="N40" i="97"/>
  <c r="K50" i="97"/>
  <c r="N50" i="97"/>
  <c r="J83" i="97"/>
  <c r="J82" i="97"/>
  <c r="J91" i="97"/>
  <c r="J84" i="97"/>
  <c r="J89" i="97"/>
  <c r="J90" i="97" a="1"/>
  <c r="J90" i="97" s="1"/>
  <c r="M90" i="97" a="1"/>
  <c r="M90" i="97" s="1"/>
  <c r="N84" i="97"/>
  <c r="N90" i="97"/>
  <c r="N89" i="97"/>
  <c r="N83" i="97"/>
  <c r="L90" i="97" a="1"/>
  <c r="L90" i="97" s="1"/>
  <c r="N82" i="97"/>
  <c r="N91" i="97"/>
  <c r="K90" i="97" a="1"/>
  <c r="K90" i="97" s="1"/>
  <c r="K9" i="97"/>
  <c r="N9" i="97"/>
  <c r="K35" i="97"/>
  <c r="N35" i="97"/>
  <c r="K18" i="97"/>
  <c r="N18" i="97"/>
  <c r="K39" i="97"/>
  <c r="N39" i="97"/>
  <c r="K41" i="97"/>
  <c r="N41" i="97"/>
  <c r="K11" i="97"/>
  <c r="N11" i="97"/>
  <c r="K23" i="97"/>
  <c r="N23" i="97"/>
  <c r="K37" i="97"/>
  <c r="N37" i="97"/>
  <c r="K62" i="97"/>
  <c r="N62" i="97"/>
  <c r="K63" i="97"/>
  <c r="N63" i="97"/>
  <c r="K48" i="97"/>
  <c r="N48" i="97"/>
  <c r="K26" i="97"/>
  <c r="N26" i="97"/>
  <c r="K51" i="97"/>
  <c r="N51" i="97"/>
  <c r="K42" i="97"/>
  <c r="N42" i="97"/>
  <c r="K17" i="97"/>
  <c r="N17" i="97"/>
  <c r="K60" i="97"/>
  <c r="N60" i="97"/>
  <c r="K61" i="97"/>
  <c r="N61" i="97"/>
  <c r="K43" i="97"/>
  <c r="N43" i="97"/>
  <c r="K45" i="97"/>
  <c r="N45" i="97"/>
  <c r="K10" i="97"/>
  <c r="N10" i="97"/>
  <c r="K38" i="97"/>
  <c r="N38" i="97"/>
  <c r="K24" i="97"/>
  <c r="N24" i="97"/>
  <c r="K44" i="97"/>
  <c r="N44" i="97"/>
  <c r="K29" i="97"/>
  <c r="N29" i="97"/>
  <c r="K57" i="97"/>
  <c r="N57" i="97"/>
  <c r="K64" i="97"/>
  <c r="N64" i="97"/>
  <c r="K47" i="97"/>
  <c r="N47" i="97"/>
  <c r="D65" i="90"/>
  <c r="M6" i="119" l="1"/>
  <c r="M62" i="119"/>
  <c r="N62" i="119" s="1"/>
  <c r="M61" i="119"/>
  <c r="N61" i="119" s="1"/>
  <c r="M56" i="119"/>
  <c r="N56" i="119" s="1"/>
  <c r="M44" i="119"/>
  <c r="N44" i="119" s="1"/>
  <c r="M63" i="119"/>
  <c r="N63" i="119" s="1"/>
  <c r="M39" i="119"/>
  <c r="N39" i="119" s="1"/>
  <c r="M34" i="119"/>
  <c r="N34" i="119" s="1"/>
  <c r="M37" i="119"/>
  <c r="N37" i="119" s="1"/>
  <c r="M27" i="119"/>
  <c r="N27" i="119" s="1"/>
  <c r="M11" i="119"/>
  <c r="N11" i="119" s="1"/>
  <c r="M16" i="119"/>
  <c r="N16" i="119" s="1"/>
  <c r="M14" i="119"/>
  <c r="N14" i="119" s="1"/>
  <c r="M8" i="119"/>
  <c r="N8" i="119" s="1"/>
  <c r="M17" i="119"/>
  <c r="N17" i="119" s="1"/>
  <c r="M20" i="119"/>
  <c r="N20" i="119" s="1"/>
  <c r="M58" i="119"/>
  <c r="N58" i="119" s="1"/>
  <c r="M57" i="119"/>
  <c r="N57" i="119" s="1"/>
  <c r="M52" i="119"/>
  <c r="N52" i="119" s="1"/>
  <c r="M40" i="119"/>
  <c r="N40" i="119" s="1"/>
  <c r="M51" i="119"/>
  <c r="N51" i="119" s="1"/>
  <c r="M35" i="119"/>
  <c r="N35" i="119" s="1"/>
  <c r="M30" i="119"/>
  <c r="N30" i="119" s="1"/>
  <c r="M33" i="119"/>
  <c r="N33" i="119" s="1"/>
  <c r="M23" i="119"/>
  <c r="N23" i="119" s="1"/>
  <c r="M7" i="119"/>
  <c r="N7" i="119" s="1"/>
  <c r="M26" i="119"/>
  <c r="N26" i="119" s="1"/>
  <c r="M10" i="119"/>
  <c r="N10" i="119" s="1"/>
  <c r="M55" i="119"/>
  <c r="N55" i="119" s="1"/>
  <c r="M13" i="119"/>
  <c r="N13" i="119" s="1"/>
  <c r="M21" i="119"/>
  <c r="N21" i="119" s="1"/>
  <c r="M54" i="119"/>
  <c r="N54" i="119" s="1"/>
  <c r="M53" i="119"/>
  <c r="N53" i="119" s="1"/>
  <c r="M59" i="119"/>
  <c r="N59" i="119" s="1"/>
  <c r="M47" i="119"/>
  <c r="N47" i="119" s="1"/>
  <c r="M46" i="119"/>
  <c r="N46" i="119" s="1"/>
  <c r="M31" i="119"/>
  <c r="N31" i="119" s="1"/>
  <c r="M45" i="119"/>
  <c r="N45" i="119" s="1"/>
  <c r="M29" i="119"/>
  <c r="N29" i="119" s="1"/>
  <c r="M19" i="119"/>
  <c r="N19" i="119" s="1"/>
  <c r="M36" i="119"/>
  <c r="N36" i="119" s="1"/>
  <c r="M22" i="119"/>
  <c r="N22" i="119" s="1"/>
  <c r="M32" i="119"/>
  <c r="N32" i="119" s="1"/>
  <c r="M25" i="119"/>
  <c r="N25" i="119" s="1"/>
  <c r="M9" i="119"/>
  <c r="N9" i="119" s="1"/>
  <c r="M28" i="119"/>
  <c r="N28" i="119" s="1"/>
  <c r="M50" i="119"/>
  <c r="N50" i="119" s="1"/>
  <c r="M60" i="119"/>
  <c r="N60" i="119" s="1"/>
  <c r="M48" i="119"/>
  <c r="N48" i="119" s="1"/>
  <c r="M43" i="119"/>
  <c r="N43" i="119" s="1"/>
  <c r="M42" i="119"/>
  <c r="N42" i="119" s="1"/>
  <c r="M41" i="119"/>
  <c r="N41" i="119" s="1"/>
  <c r="M38" i="119"/>
  <c r="N38" i="119" s="1"/>
  <c r="M49" i="119"/>
  <c r="N49" i="119" s="1"/>
  <c r="M15" i="119"/>
  <c r="N15" i="119" s="1"/>
  <c r="M24" i="119"/>
  <c r="N24" i="119" s="1"/>
  <c r="M18" i="119"/>
  <c r="N18" i="119" s="1"/>
  <c r="M12" i="119"/>
  <c r="N12" i="119" s="1"/>
  <c r="Q63" i="119"/>
  <c r="R63" i="119" s="1"/>
  <c r="I62" i="67" s="1"/>
  <c r="Q62" i="119"/>
  <c r="R62" i="119" s="1"/>
  <c r="I61" i="67" s="1"/>
  <c r="Q57" i="119"/>
  <c r="R57" i="119" s="1"/>
  <c r="I56" i="67" s="1"/>
  <c r="Q45" i="119"/>
  <c r="R45" i="119" s="1"/>
  <c r="I44" i="67" s="1"/>
  <c r="Q44" i="119"/>
  <c r="R44" i="119" s="1"/>
  <c r="I43" i="67" s="1"/>
  <c r="Q39" i="119"/>
  <c r="R39" i="119" s="1"/>
  <c r="I38" i="67" s="1"/>
  <c r="Q36" i="119"/>
  <c r="R36" i="119" s="1"/>
  <c r="I35" i="67" s="1"/>
  <c r="Q31" i="119"/>
  <c r="R31" i="119" s="1"/>
  <c r="I30" i="67" s="1"/>
  <c r="Q30" i="119"/>
  <c r="R30" i="119" s="1"/>
  <c r="I29" i="67" s="1"/>
  <c r="Q20" i="119"/>
  <c r="R20" i="119" s="1"/>
  <c r="I19" i="67" s="1"/>
  <c r="Q9" i="119"/>
  <c r="R9" i="119" s="1"/>
  <c r="I8" i="67" s="1"/>
  <c r="Q19" i="119"/>
  <c r="R19" i="119" s="1"/>
  <c r="I18" i="67" s="1"/>
  <c r="Q25" i="119"/>
  <c r="R25" i="119" s="1"/>
  <c r="I24" i="67" s="1"/>
  <c r="Q22" i="119"/>
  <c r="R22" i="119" s="1"/>
  <c r="I21" i="67" s="1"/>
  <c r="Q6" i="119"/>
  <c r="Q59" i="119"/>
  <c r="R59" i="119" s="1"/>
  <c r="I58" i="67" s="1"/>
  <c r="Q58" i="119"/>
  <c r="R58" i="119" s="1"/>
  <c r="I57" i="67" s="1"/>
  <c r="Q53" i="119"/>
  <c r="R53" i="119" s="1"/>
  <c r="I52" i="67" s="1"/>
  <c r="Q41" i="119"/>
  <c r="R41" i="119" s="1"/>
  <c r="I40" i="67" s="1"/>
  <c r="Q60" i="119"/>
  <c r="R60" i="119" s="1"/>
  <c r="I59" i="67" s="1"/>
  <c r="Q46" i="119"/>
  <c r="R46" i="119" s="1"/>
  <c r="I45" i="67" s="1"/>
  <c r="Q32" i="119"/>
  <c r="R32" i="119" s="1"/>
  <c r="I31" i="67" s="1"/>
  <c r="Q27" i="119"/>
  <c r="R27" i="119" s="1"/>
  <c r="I26" i="67" s="1"/>
  <c r="Q26" i="119"/>
  <c r="R26" i="119" s="1"/>
  <c r="I25" i="67" s="1"/>
  <c r="Q16" i="119"/>
  <c r="R16" i="119" s="1"/>
  <c r="I15" i="67" s="1"/>
  <c r="Q33" i="119"/>
  <c r="R33" i="119" s="1"/>
  <c r="I32" i="67" s="1"/>
  <c r="Q15" i="119"/>
  <c r="R15" i="119" s="1"/>
  <c r="I14" i="67" s="1"/>
  <c r="Q17" i="119"/>
  <c r="R17" i="119" s="1"/>
  <c r="I16" i="67" s="1"/>
  <c r="Q18" i="119"/>
  <c r="R18" i="119" s="1"/>
  <c r="I17" i="67" s="1"/>
  <c r="Q21" i="119"/>
  <c r="R21" i="119" s="1"/>
  <c r="I20" i="67" s="1"/>
  <c r="Q55" i="119"/>
  <c r="R55" i="119" s="1"/>
  <c r="I54" i="67" s="1"/>
  <c r="Q54" i="119"/>
  <c r="R54" i="119" s="1"/>
  <c r="I53" i="67" s="1"/>
  <c r="Q49" i="119"/>
  <c r="R49" i="119" s="1"/>
  <c r="I48" i="67" s="1"/>
  <c r="Q56" i="119"/>
  <c r="R56" i="119" s="1"/>
  <c r="I55" i="67" s="1"/>
  <c r="Q47" i="119"/>
  <c r="R47" i="119" s="1"/>
  <c r="I46" i="67" s="1"/>
  <c r="Q40" i="119"/>
  <c r="R40" i="119" s="1"/>
  <c r="I39" i="67" s="1"/>
  <c r="Q28" i="119"/>
  <c r="R28" i="119" s="1"/>
  <c r="I27" i="67" s="1"/>
  <c r="Q50" i="119"/>
  <c r="R50" i="119" s="1"/>
  <c r="I49" i="67" s="1"/>
  <c r="Q37" i="119"/>
  <c r="R37" i="119" s="1"/>
  <c r="I36" i="67" s="1"/>
  <c r="Q12" i="119"/>
  <c r="R12" i="119" s="1"/>
  <c r="I11" i="67" s="1"/>
  <c r="Q29" i="119"/>
  <c r="R29" i="119" s="1"/>
  <c r="I28" i="67" s="1"/>
  <c r="Q11" i="119"/>
  <c r="R11" i="119" s="1"/>
  <c r="I10" i="67" s="1"/>
  <c r="Q13" i="119"/>
  <c r="R13" i="119" s="1"/>
  <c r="I12" i="67" s="1"/>
  <c r="Q14" i="119"/>
  <c r="R14" i="119" s="1"/>
  <c r="I13" i="67" s="1"/>
  <c r="Q51" i="119"/>
  <c r="R51" i="119" s="1"/>
  <c r="I50" i="67" s="1"/>
  <c r="Q61" i="119"/>
  <c r="R61" i="119" s="1"/>
  <c r="I60" i="67" s="1"/>
  <c r="Q52" i="119"/>
  <c r="R52" i="119" s="1"/>
  <c r="I51" i="67" s="1"/>
  <c r="Q48" i="119"/>
  <c r="R48" i="119" s="1"/>
  <c r="I47" i="67" s="1"/>
  <c r="Q43" i="119"/>
  <c r="R43" i="119" s="1"/>
  <c r="I42" i="67" s="1"/>
  <c r="Q38" i="119"/>
  <c r="R38" i="119" s="1"/>
  <c r="I37" i="67" s="1"/>
  <c r="Q35" i="119"/>
  <c r="R35" i="119" s="1"/>
  <c r="I34" i="67" s="1"/>
  <c r="Q34" i="119"/>
  <c r="R34" i="119" s="1"/>
  <c r="I33" i="67" s="1"/>
  <c r="Q24" i="119"/>
  <c r="R24" i="119" s="1"/>
  <c r="I23" i="67" s="1"/>
  <c r="Q8" i="119"/>
  <c r="R8" i="119" s="1"/>
  <c r="I7" i="67" s="1"/>
  <c r="Q23" i="119"/>
  <c r="R23" i="119" s="1"/>
  <c r="I22" i="67" s="1"/>
  <c r="Q7" i="119"/>
  <c r="R7" i="119" s="1"/>
  <c r="I6" i="67" s="1"/>
  <c r="Q42" i="119"/>
  <c r="R42" i="119" s="1"/>
  <c r="I41" i="67" s="1"/>
  <c r="Q10" i="119"/>
  <c r="R10" i="119" s="1"/>
  <c r="I9" i="67" s="1"/>
  <c r="C5" i="67"/>
  <c r="J65" i="119"/>
  <c r="N63" i="109"/>
  <c r="N47" i="109"/>
  <c r="N46" i="109"/>
  <c r="N44" i="109"/>
  <c r="N28" i="109"/>
  <c r="N54" i="109"/>
  <c r="N31" i="109"/>
  <c r="N8" i="109"/>
  <c r="N41" i="109"/>
  <c r="N19" i="109"/>
  <c r="N42" i="109"/>
  <c r="N27" i="109"/>
  <c r="N33" i="109"/>
  <c r="N17" i="109"/>
  <c r="N23" i="109"/>
  <c r="N59" i="109"/>
  <c r="N62" i="109"/>
  <c r="N43" i="109"/>
  <c r="N40" i="109"/>
  <c r="N24" i="109"/>
  <c r="N50" i="109"/>
  <c r="N26" i="109"/>
  <c r="N60" i="109"/>
  <c r="N35" i="109"/>
  <c r="N15" i="109"/>
  <c r="N10" i="109"/>
  <c r="N9" i="109"/>
  <c r="N29" i="109"/>
  <c r="N14" i="109"/>
  <c r="N13" i="109"/>
  <c r="N55" i="109"/>
  <c r="N57" i="109"/>
  <c r="N61" i="109"/>
  <c r="N36" i="109"/>
  <c r="N20" i="109"/>
  <c r="N49" i="109"/>
  <c r="N21" i="109"/>
  <c r="N58" i="109"/>
  <c r="N30" i="109"/>
  <c r="N11" i="109"/>
  <c r="N53" i="109"/>
  <c r="N38" i="109"/>
  <c r="N22" i="109"/>
  <c r="N51" i="109"/>
  <c r="N52" i="109"/>
  <c r="N48" i="109"/>
  <c r="N32" i="109"/>
  <c r="N16" i="109"/>
  <c r="N37" i="109"/>
  <c r="N12" i="109"/>
  <c r="N56" i="109"/>
  <c r="N25" i="109"/>
  <c r="N7" i="109"/>
  <c r="N45" i="109"/>
  <c r="N34" i="109"/>
  <c r="N18" i="109"/>
  <c r="N39" i="109"/>
  <c r="J65" i="109"/>
  <c r="R52" i="109"/>
  <c r="R54" i="109"/>
  <c r="R58" i="109"/>
  <c r="R33" i="109"/>
  <c r="R17" i="109"/>
  <c r="R28" i="109"/>
  <c r="R9" i="109"/>
  <c r="R42" i="109"/>
  <c r="R22" i="109"/>
  <c r="R47" i="109"/>
  <c r="R50" i="109"/>
  <c r="R14" i="109"/>
  <c r="R11" i="109"/>
  <c r="R35" i="109"/>
  <c r="R10" i="109"/>
  <c r="R48" i="109"/>
  <c r="R49" i="109"/>
  <c r="R51" i="109"/>
  <c r="R29" i="109"/>
  <c r="R45" i="109"/>
  <c r="R23" i="109"/>
  <c r="R62" i="109"/>
  <c r="R38" i="109"/>
  <c r="R16" i="109"/>
  <c r="R31" i="109"/>
  <c r="R46" i="109"/>
  <c r="R57" i="109"/>
  <c r="R30" i="109"/>
  <c r="R60" i="109"/>
  <c r="U66" i="109"/>
  <c r="R44" i="109"/>
  <c r="R41" i="109"/>
  <c r="R25" i="109"/>
  <c r="R39" i="109"/>
  <c r="R18" i="109"/>
  <c r="R61" i="109"/>
  <c r="R32" i="109"/>
  <c r="R12" i="109"/>
  <c r="R15" i="109"/>
  <c r="R36" i="109"/>
  <c r="R43" i="109"/>
  <c r="R55" i="109"/>
  <c r="R24" i="109"/>
  <c r="R56" i="109"/>
  <c r="R59" i="109"/>
  <c r="R63" i="109"/>
  <c r="R37" i="109"/>
  <c r="R21" i="109"/>
  <c r="R34" i="109"/>
  <c r="R13" i="109"/>
  <c r="R53" i="109"/>
  <c r="R27" i="109"/>
  <c r="R8" i="109"/>
  <c r="R7" i="109"/>
  <c r="R20" i="109"/>
  <c r="R26" i="109"/>
  <c r="R40" i="109"/>
  <c r="R19" i="109"/>
  <c r="J96" i="97"/>
  <c r="J95" i="97"/>
  <c r="J97" i="97"/>
  <c r="M97" i="97"/>
  <c r="N97" i="97"/>
  <c r="M96" i="97"/>
  <c r="N96" i="97"/>
  <c r="M95" i="97"/>
  <c r="N95" i="97"/>
  <c r="E63" i="67"/>
  <c r="K96" i="97"/>
  <c r="K97" i="97"/>
  <c r="K95" i="97"/>
  <c r="L96" i="97"/>
  <c r="L95" i="97"/>
  <c r="L97" i="97"/>
  <c r="J70" i="97"/>
  <c r="L77" i="97" a="1"/>
  <c r="L77" i="97" s="1"/>
  <c r="K77" i="97" a="1"/>
  <c r="K77" i="97" s="1"/>
  <c r="M78" i="97"/>
  <c r="N71" i="97"/>
  <c r="M71" i="97"/>
  <c r="N78" i="97"/>
  <c r="M70" i="97"/>
  <c r="N69" i="97"/>
  <c r="M76" i="97"/>
  <c r="J77" i="97" a="1"/>
  <c r="J77" i="97" s="1"/>
  <c r="N76" i="97"/>
  <c r="M69" i="97"/>
  <c r="N70" i="97"/>
  <c r="N77" i="97"/>
  <c r="M77" i="97" a="1"/>
  <c r="M77" i="97" s="1"/>
  <c r="J78" i="97"/>
  <c r="J71" i="97"/>
  <c r="J69" i="97"/>
  <c r="L71" i="97"/>
  <c r="L78" i="97"/>
  <c r="L69" i="97"/>
  <c r="L70" i="97"/>
  <c r="L76" i="97"/>
  <c r="J76" i="97"/>
  <c r="K78" i="97"/>
  <c r="K70" i="97"/>
  <c r="K76" i="97"/>
  <c r="K69" i="97"/>
  <c r="K71" i="97"/>
  <c r="AD56" i="109" l="1"/>
  <c r="AD30" i="109"/>
  <c r="AD20" i="109"/>
  <c r="AD55" i="109"/>
  <c r="AD9" i="109"/>
  <c r="AD42" i="109"/>
  <c r="AD46" i="109"/>
  <c r="AD34" i="109"/>
  <c r="AD32" i="109"/>
  <c r="AD60" i="109"/>
  <c r="AD31" i="109"/>
  <c r="AD45" i="109"/>
  <c r="AD12" i="109"/>
  <c r="AD48" i="109"/>
  <c r="AD38" i="109"/>
  <c r="AD58" i="109"/>
  <c r="AD36" i="109"/>
  <c r="AD13" i="109"/>
  <c r="AD10" i="109"/>
  <c r="AD26" i="109"/>
  <c r="AD43" i="109"/>
  <c r="AD17" i="109"/>
  <c r="AD19" i="109"/>
  <c r="AD54" i="109"/>
  <c r="AD47" i="109"/>
  <c r="AD22" i="109"/>
  <c r="AD40" i="109"/>
  <c r="AD23" i="109"/>
  <c r="AD39" i="109"/>
  <c r="AD7" i="109"/>
  <c r="AD37" i="109"/>
  <c r="AD52" i="109"/>
  <c r="AD53" i="109"/>
  <c r="AD21" i="109"/>
  <c r="AD61" i="109"/>
  <c r="AD14" i="109"/>
  <c r="AD15" i="109"/>
  <c r="AD50" i="109"/>
  <c r="AD62" i="109"/>
  <c r="AD33" i="109"/>
  <c r="AD41" i="109"/>
  <c r="AD28" i="109"/>
  <c r="AD63" i="109"/>
  <c r="AD18" i="109"/>
  <c r="AD25" i="109"/>
  <c r="AD16" i="109"/>
  <c r="AD51" i="109"/>
  <c r="AD11" i="109"/>
  <c r="AD49" i="109"/>
  <c r="AD57" i="109"/>
  <c r="AD29" i="109"/>
  <c r="AD35" i="109"/>
  <c r="AD24" i="109"/>
  <c r="AD59" i="109"/>
  <c r="AD27" i="109"/>
  <c r="AD8" i="109"/>
  <c r="AD44" i="109"/>
  <c r="F23" i="67"/>
  <c r="Z24" i="119"/>
  <c r="F40" i="67"/>
  <c r="Z41" i="119"/>
  <c r="F59" i="67"/>
  <c r="Z60" i="119"/>
  <c r="F24" i="67"/>
  <c r="Z25" i="119"/>
  <c r="F18" i="67"/>
  <c r="Z19" i="119"/>
  <c r="F45" i="67"/>
  <c r="Z46" i="119"/>
  <c r="F53" i="67"/>
  <c r="Z54" i="119"/>
  <c r="F9" i="67"/>
  <c r="Z10" i="119"/>
  <c r="F32" i="67"/>
  <c r="Z33" i="119"/>
  <c r="F39" i="67"/>
  <c r="Z40" i="119"/>
  <c r="F19" i="67"/>
  <c r="Z20" i="119"/>
  <c r="F15" i="67"/>
  <c r="Z16" i="119"/>
  <c r="F33" i="67"/>
  <c r="Z34" i="119"/>
  <c r="F55" i="67"/>
  <c r="Z56" i="119"/>
  <c r="F14" i="67"/>
  <c r="Z15" i="119"/>
  <c r="F41" i="67"/>
  <c r="Z42" i="119"/>
  <c r="F49" i="67"/>
  <c r="Z50" i="119"/>
  <c r="F31" i="67"/>
  <c r="Z32" i="119"/>
  <c r="F28" i="67"/>
  <c r="Z29" i="119"/>
  <c r="F46" i="67"/>
  <c r="Z47" i="119"/>
  <c r="F20" i="67"/>
  <c r="Z21" i="119"/>
  <c r="F25" i="67"/>
  <c r="Z26" i="119"/>
  <c r="F29" i="67"/>
  <c r="Z30" i="119"/>
  <c r="F51" i="67"/>
  <c r="Z52" i="119"/>
  <c r="F16" i="67"/>
  <c r="Z17" i="119"/>
  <c r="F10" i="67"/>
  <c r="Z11" i="119"/>
  <c r="F38" i="67"/>
  <c r="Z39" i="119"/>
  <c r="F60" i="67"/>
  <c r="Z61" i="119"/>
  <c r="F11" i="67"/>
  <c r="Z12" i="119"/>
  <c r="F48" i="67"/>
  <c r="Z49" i="119"/>
  <c r="F42" i="67"/>
  <c r="Z43" i="119"/>
  <c r="F27" i="67"/>
  <c r="Z28" i="119"/>
  <c r="F21" i="67"/>
  <c r="Z22" i="119"/>
  <c r="F44" i="67"/>
  <c r="Z45" i="119"/>
  <c r="F58" i="67"/>
  <c r="Z59" i="119"/>
  <c r="F12" i="67"/>
  <c r="Z13" i="119"/>
  <c r="F6" i="67"/>
  <c r="Z7" i="119"/>
  <c r="F34" i="67"/>
  <c r="Z35" i="119"/>
  <c r="F56" i="67"/>
  <c r="Z57" i="119"/>
  <c r="F7" i="67"/>
  <c r="Z8" i="119"/>
  <c r="F26" i="67"/>
  <c r="Z27" i="119"/>
  <c r="F62" i="67"/>
  <c r="Z63" i="119"/>
  <c r="F61" i="67"/>
  <c r="Z62" i="119"/>
  <c r="Q65" i="119"/>
  <c r="R6" i="119"/>
  <c r="F17" i="67"/>
  <c r="Z18" i="119"/>
  <c r="F37" i="67"/>
  <c r="Z38" i="119"/>
  <c r="F47" i="67"/>
  <c r="Z48" i="119"/>
  <c r="F8" i="67"/>
  <c r="Z9" i="119"/>
  <c r="F35" i="67"/>
  <c r="Z36" i="119"/>
  <c r="F30" i="67"/>
  <c r="Z31" i="119"/>
  <c r="F52" i="67"/>
  <c r="Z53" i="119"/>
  <c r="F54" i="67"/>
  <c r="Z55" i="119"/>
  <c r="F22" i="67"/>
  <c r="Z23" i="119"/>
  <c r="F50" i="67"/>
  <c r="Z51" i="119"/>
  <c r="F57" i="67"/>
  <c r="Z58" i="119"/>
  <c r="F13" i="67"/>
  <c r="Z14" i="119"/>
  <c r="F36" i="67"/>
  <c r="Z37" i="119"/>
  <c r="F43" i="67"/>
  <c r="Z44" i="119"/>
  <c r="M65" i="119"/>
  <c r="N6" i="119"/>
  <c r="Z60" i="109"/>
  <c r="N60" i="91" s="1"/>
  <c r="Z47" i="109"/>
  <c r="N47" i="91" s="1"/>
  <c r="Z56" i="109"/>
  <c r="N56" i="91" s="1"/>
  <c r="Z27" i="109"/>
  <c r="N27" i="91" s="1"/>
  <c r="Q65" i="109"/>
  <c r="R6" i="109"/>
  <c r="Z34" i="109"/>
  <c r="N34" i="91" s="1"/>
  <c r="M65" i="109"/>
  <c r="N6" i="109"/>
  <c r="Z14" i="109"/>
  <c r="N14" i="91" s="1"/>
  <c r="F37" i="129" l="1"/>
  <c r="E38" i="120"/>
  <c r="F58" i="129"/>
  <c r="E59" i="120"/>
  <c r="F23" i="129"/>
  <c r="E24" i="120"/>
  <c r="F53" i="129"/>
  <c r="E54" i="120"/>
  <c r="F36" i="129"/>
  <c r="E37" i="120"/>
  <c r="F48" i="129"/>
  <c r="E49" i="120"/>
  <c r="F18" i="129"/>
  <c r="E19" i="120"/>
  <c r="F62" i="129"/>
  <c r="E63" i="120"/>
  <c r="F27" i="129"/>
  <c r="E28" i="120"/>
  <c r="F57" i="129"/>
  <c r="E58" i="120"/>
  <c r="F7" i="129"/>
  <c r="E8" i="120"/>
  <c r="F59" i="129"/>
  <c r="E60" i="120"/>
  <c r="F22" i="129"/>
  <c r="E23" i="120"/>
  <c r="F43" i="129"/>
  <c r="E44" i="120"/>
  <c r="F12" i="129"/>
  <c r="E13" i="120"/>
  <c r="F39" i="129"/>
  <c r="E40" i="120"/>
  <c r="F17" i="129"/>
  <c r="E18" i="120"/>
  <c r="F30" i="129"/>
  <c r="E31" i="120"/>
  <c r="F21" i="129"/>
  <c r="E22" i="120"/>
  <c r="F29" i="129"/>
  <c r="E30" i="120"/>
  <c r="F50" i="129"/>
  <c r="E51" i="120"/>
  <c r="F15" i="129"/>
  <c r="E16" i="120"/>
  <c r="F34" i="129"/>
  <c r="E35" i="120"/>
  <c r="F20" i="129"/>
  <c r="E21" i="120"/>
  <c r="F33" i="129"/>
  <c r="E34" i="120"/>
  <c r="F54" i="129"/>
  <c r="E55" i="120"/>
  <c r="F19" i="129"/>
  <c r="E20" i="120"/>
  <c r="F60" i="129"/>
  <c r="E61" i="120"/>
  <c r="F24" i="129"/>
  <c r="E25" i="120"/>
  <c r="F44" i="129"/>
  <c r="E45" i="120"/>
  <c r="F14" i="129"/>
  <c r="E15" i="120"/>
  <c r="F51" i="129"/>
  <c r="E52" i="120"/>
  <c r="F55" i="129"/>
  <c r="E56" i="120"/>
  <c r="F31" i="129"/>
  <c r="E32" i="120"/>
  <c r="F9" i="129"/>
  <c r="E10" i="120"/>
  <c r="F38" i="129"/>
  <c r="E39" i="120"/>
  <c r="F63" i="129"/>
  <c r="E64" i="120"/>
  <c r="F8" i="129"/>
  <c r="E9" i="120"/>
  <c r="F35" i="129"/>
  <c r="E36" i="120"/>
  <c r="F13" i="129"/>
  <c r="E14" i="120"/>
  <c r="F45" i="129"/>
  <c r="E46" i="120"/>
  <c r="F28" i="129"/>
  <c r="E29" i="120"/>
  <c r="F49" i="129"/>
  <c r="E50" i="120"/>
  <c r="F61" i="129"/>
  <c r="E62" i="120"/>
  <c r="F11" i="129"/>
  <c r="E12" i="120"/>
  <c r="F52" i="129"/>
  <c r="E53" i="120"/>
  <c r="F26" i="129"/>
  <c r="E27" i="120"/>
  <c r="F47" i="129"/>
  <c r="E48" i="120"/>
  <c r="F32" i="129"/>
  <c r="E33" i="120"/>
  <c r="F42" i="129"/>
  <c r="E43" i="120"/>
  <c r="F56" i="129"/>
  <c r="E57" i="120"/>
  <c r="F16" i="129"/>
  <c r="E17" i="120"/>
  <c r="F40" i="129"/>
  <c r="E41" i="120"/>
  <c r="F10" i="129"/>
  <c r="E11" i="120"/>
  <c r="F46" i="129"/>
  <c r="E47" i="120"/>
  <c r="F25" i="129"/>
  <c r="E26" i="120"/>
  <c r="F41" i="129"/>
  <c r="E42" i="120"/>
  <c r="AD6" i="109"/>
  <c r="AD65" i="109" s="1"/>
  <c r="R65" i="119"/>
  <c r="I5" i="67"/>
  <c r="N65" i="119"/>
  <c r="F5" i="67"/>
  <c r="Z6" i="119"/>
  <c r="Z6" i="109"/>
  <c r="Z21" i="109"/>
  <c r="N21" i="91" s="1"/>
  <c r="Z50" i="109"/>
  <c r="N50" i="91" s="1"/>
  <c r="Z61" i="109"/>
  <c r="N61" i="91" s="1"/>
  <c r="Z24" i="109"/>
  <c r="N24" i="91" s="1"/>
  <c r="Z23" i="109"/>
  <c r="N23" i="91" s="1"/>
  <c r="Z7" i="109"/>
  <c r="N7" i="91" s="1"/>
  <c r="Z33" i="109"/>
  <c r="N33" i="91" s="1"/>
  <c r="Z12" i="109"/>
  <c r="N12" i="91" s="1"/>
  <c r="Z28" i="109"/>
  <c r="N28" i="91" s="1"/>
  <c r="Z45" i="109"/>
  <c r="N45" i="91" s="1"/>
  <c r="Z26" i="109"/>
  <c r="N26" i="91" s="1"/>
  <c r="Z36" i="109"/>
  <c r="N36" i="91" s="1"/>
  <c r="Z41" i="109"/>
  <c r="N41" i="91" s="1"/>
  <c r="Z62" i="109"/>
  <c r="N62" i="91" s="1"/>
  <c r="Z51" i="109"/>
  <c r="N51" i="91" s="1"/>
  <c r="Z13" i="109"/>
  <c r="N13" i="91" s="1"/>
  <c r="Z58" i="109"/>
  <c r="N58" i="91" s="1"/>
  <c r="Z59" i="109"/>
  <c r="N59" i="91" s="1"/>
  <c r="Z30" i="109"/>
  <c r="N30" i="91" s="1"/>
  <c r="Z57" i="109"/>
  <c r="N57" i="91" s="1"/>
  <c r="Z25" i="109"/>
  <c r="N25" i="91" s="1"/>
  <c r="Z54" i="109"/>
  <c r="N54" i="91" s="1"/>
  <c r="Z43" i="109"/>
  <c r="N43" i="91" s="1"/>
  <c r="Z8" i="109"/>
  <c r="N8" i="91" s="1"/>
  <c r="Z35" i="109"/>
  <c r="N35" i="91" s="1"/>
  <c r="Z22" i="109"/>
  <c r="N22" i="91" s="1"/>
  <c r="Z55" i="109"/>
  <c r="N55" i="91" s="1"/>
  <c r="U65" i="109"/>
  <c r="Z52" i="109"/>
  <c r="N52" i="91" s="1"/>
  <c r="Z46" i="109"/>
  <c r="N46" i="91" s="1"/>
  <c r="Z63" i="109"/>
  <c r="N63" i="91" s="1"/>
  <c r="Z15" i="109"/>
  <c r="N15" i="91" s="1"/>
  <c r="Z53" i="109"/>
  <c r="N53" i="91" s="1"/>
  <c r="Z16" i="109"/>
  <c r="N16" i="91" s="1"/>
  <c r="Z18" i="109"/>
  <c r="N18" i="91" s="1"/>
  <c r="Z20" i="109"/>
  <c r="N20" i="91" s="1"/>
  <c r="Z48" i="109"/>
  <c r="N48" i="91" s="1"/>
  <c r="Z19" i="109"/>
  <c r="N19" i="91" s="1"/>
  <c r="Z10" i="109"/>
  <c r="N10" i="91" s="1"/>
  <c r="Z38" i="109"/>
  <c r="N38" i="91" s="1"/>
  <c r="Z37" i="109"/>
  <c r="N37" i="91" s="1"/>
  <c r="Z39" i="109"/>
  <c r="N39" i="91" s="1"/>
  <c r="Z31" i="109"/>
  <c r="N31" i="91" s="1"/>
  <c r="Z40" i="109"/>
  <c r="N40" i="91" s="1"/>
  <c r="Z9" i="109"/>
  <c r="N9" i="91" s="1"/>
  <c r="Z44" i="109"/>
  <c r="N44" i="91" s="1"/>
  <c r="Z29" i="109"/>
  <c r="N29" i="91" s="1"/>
  <c r="Z49" i="109"/>
  <c r="N49" i="91" s="1"/>
  <c r="N65" i="109"/>
  <c r="R65" i="109"/>
  <c r="Z42" i="109"/>
  <c r="N42" i="91" s="1"/>
  <c r="Z11" i="109"/>
  <c r="N11" i="91" s="1"/>
  <c r="Z32" i="109"/>
  <c r="N32" i="91" s="1"/>
  <c r="Z17" i="109"/>
  <c r="N17" i="91" s="1"/>
  <c r="C63" i="67"/>
  <c r="F6" i="129" l="1"/>
  <c r="E7" i="120"/>
  <c r="E65" i="120" s="1"/>
  <c r="Z65" i="119"/>
  <c r="Z65" i="109"/>
  <c r="N6" i="91"/>
  <c r="F63" i="67"/>
  <c r="F64" i="129" l="1"/>
  <c r="N64" i="91"/>
  <c r="I63" i="67" l="1"/>
  <c r="H63" i="67"/>
  <c r="O56" i="91" l="1"/>
  <c r="O17" i="91"/>
  <c r="O13" i="91"/>
  <c r="E13" i="90" s="1"/>
  <c r="G13" i="90" s="1"/>
  <c r="O19" i="91"/>
  <c r="E19" i="90" s="1"/>
  <c r="G19" i="90" s="1"/>
  <c r="K19" i="90" s="1"/>
  <c r="O21" i="91"/>
  <c r="E21" i="90" s="1"/>
  <c r="G21" i="90" s="1"/>
  <c r="K21" i="90" s="1"/>
  <c r="O43" i="91"/>
  <c r="E43" i="90" s="1"/>
  <c r="G43" i="90" s="1"/>
  <c r="O24" i="91"/>
  <c r="C24" i="92" s="1"/>
  <c r="O9" i="91"/>
  <c r="C9" i="92" s="1"/>
  <c r="C17" i="92"/>
  <c r="E17" i="90"/>
  <c r="G17" i="90" s="1"/>
  <c r="C56" i="92"/>
  <c r="E56" i="90"/>
  <c r="G56" i="90" s="1"/>
  <c r="C19" i="92" l="1"/>
  <c r="O16" i="91"/>
  <c r="C16" i="92" s="1"/>
  <c r="E24" i="90"/>
  <c r="G24" i="90" s="1"/>
  <c r="K24" i="90" s="1"/>
  <c r="C13" i="92"/>
  <c r="C21" i="92"/>
  <c r="K13" i="90"/>
  <c r="I13" i="90"/>
  <c r="K43" i="90"/>
  <c r="I43" i="90"/>
  <c r="O39" i="91"/>
  <c r="E39" i="90" s="1"/>
  <c r="G39" i="90" s="1"/>
  <c r="O30" i="91"/>
  <c r="C30" i="92" s="1"/>
  <c r="O36" i="91"/>
  <c r="C36" i="92" s="1"/>
  <c r="O32" i="91"/>
  <c r="C32" i="92" s="1"/>
  <c r="O44" i="91"/>
  <c r="C44" i="92" s="1"/>
  <c r="O46" i="91"/>
  <c r="C46" i="92" s="1"/>
  <c r="O26" i="91"/>
  <c r="C26" i="92" s="1"/>
  <c r="O60" i="91"/>
  <c r="C60" i="92" s="1"/>
  <c r="O37" i="91"/>
  <c r="E37" i="90" s="1"/>
  <c r="G37" i="90" s="1"/>
  <c r="I37" i="90" s="1"/>
  <c r="O53" i="91"/>
  <c r="C53" i="92" s="1"/>
  <c r="O11" i="91"/>
  <c r="E11" i="90" s="1"/>
  <c r="G11" i="90" s="1"/>
  <c r="K11" i="90" s="1"/>
  <c r="O31" i="91"/>
  <c r="E31" i="90" s="1"/>
  <c r="G31" i="90" s="1"/>
  <c r="I31" i="90" s="1"/>
  <c r="O45" i="91"/>
  <c r="E45" i="90" s="1"/>
  <c r="G45" i="90" s="1"/>
  <c r="K45" i="90" s="1"/>
  <c r="O20" i="91"/>
  <c r="C20" i="92" s="1"/>
  <c r="O35" i="91"/>
  <c r="E35" i="90" s="1"/>
  <c r="G35" i="90" s="1"/>
  <c r="I19" i="90"/>
  <c r="L19" i="90" s="1"/>
  <c r="J19" i="90" s="1"/>
  <c r="D19" i="92" s="1"/>
  <c r="E19" i="92" s="1"/>
  <c r="O40" i="91"/>
  <c r="E40" i="90" s="1"/>
  <c r="G40" i="90" s="1"/>
  <c r="I40" i="90" s="1"/>
  <c r="O10" i="91"/>
  <c r="E10" i="90" s="1"/>
  <c r="G10" i="90" s="1"/>
  <c r="O63" i="91"/>
  <c r="C63" i="92" s="1"/>
  <c r="O42" i="91"/>
  <c r="E42" i="90" s="1"/>
  <c r="G42" i="90" s="1"/>
  <c r="O50" i="91"/>
  <c r="E50" i="90" s="1"/>
  <c r="G50" i="90" s="1"/>
  <c r="K50" i="90" s="1"/>
  <c r="O18" i="91"/>
  <c r="E18" i="90" s="1"/>
  <c r="G18" i="90" s="1"/>
  <c r="O6" i="91"/>
  <c r="C6" i="92" s="1"/>
  <c r="O23" i="91"/>
  <c r="E23" i="90" s="1"/>
  <c r="G23" i="90" s="1"/>
  <c r="O34" i="91"/>
  <c r="C34" i="92" s="1"/>
  <c r="O12" i="91"/>
  <c r="E12" i="90" s="1"/>
  <c r="G12" i="90" s="1"/>
  <c r="K12" i="90" s="1"/>
  <c r="E9" i="90"/>
  <c r="G9" i="90" s="1"/>
  <c r="K9" i="90" s="1"/>
  <c r="C43" i="92"/>
  <c r="O58" i="91"/>
  <c r="E58" i="90" s="1"/>
  <c r="G58" i="90" s="1"/>
  <c r="O27" i="91"/>
  <c r="E27" i="90" s="1"/>
  <c r="G27" i="90" s="1"/>
  <c r="K27" i="90" s="1"/>
  <c r="O15" i="91"/>
  <c r="E15" i="90" s="1"/>
  <c r="G15" i="90" s="1"/>
  <c r="O59" i="91"/>
  <c r="C59" i="92" s="1"/>
  <c r="O14" i="91"/>
  <c r="E14" i="90" s="1"/>
  <c r="G14" i="90" s="1"/>
  <c r="K14" i="90" s="1"/>
  <c r="O8" i="91"/>
  <c r="E8" i="90" s="1"/>
  <c r="G8" i="90" s="1"/>
  <c r="K8" i="90" s="1"/>
  <c r="O49" i="91"/>
  <c r="E49" i="90" s="1"/>
  <c r="G49" i="90" s="1"/>
  <c r="K49" i="90" s="1"/>
  <c r="O28" i="91"/>
  <c r="E28" i="90" s="1"/>
  <c r="G28" i="90" s="1"/>
  <c r="O38" i="91"/>
  <c r="E38" i="90" s="1"/>
  <c r="G38" i="90" s="1"/>
  <c r="K38" i="90" s="1"/>
  <c r="O55" i="91"/>
  <c r="E55" i="90" s="1"/>
  <c r="G55" i="90" s="1"/>
  <c r="K55" i="90" s="1"/>
  <c r="O51" i="91"/>
  <c r="C51" i="92" s="1"/>
  <c r="O62" i="91"/>
  <c r="E62" i="90" s="1"/>
  <c r="G62" i="90" s="1"/>
  <c r="I62" i="90" s="1"/>
  <c r="O7" i="91"/>
  <c r="C7" i="92" s="1"/>
  <c r="O25" i="91"/>
  <c r="E25" i="90" s="1"/>
  <c r="G25" i="90" s="1"/>
  <c r="K25" i="90" s="1"/>
  <c r="O41" i="91"/>
  <c r="E41" i="90" s="1"/>
  <c r="G41" i="90" s="1"/>
  <c r="K41" i="90" s="1"/>
  <c r="O47" i="91"/>
  <c r="C47" i="92" s="1"/>
  <c r="O57" i="91"/>
  <c r="E57" i="90" s="1"/>
  <c r="G57" i="90" s="1"/>
  <c r="K57" i="90" s="1"/>
  <c r="O29" i="91"/>
  <c r="C29" i="92" s="1"/>
  <c r="O33" i="91"/>
  <c r="C33" i="92" s="1"/>
  <c r="O61" i="91"/>
  <c r="C61" i="92" s="1"/>
  <c r="O22" i="91"/>
  <c r="C22" i="92" s="1"/>
  <c r="O48" i="91"/>
  <c r="C48" i="92" s="1"/>
  <c r="O54" i="91"/>
  <c r="E54" i="90" s="1"/>
  <c r="G54" i="90" s="1"/>
  <c r="O52" i="91"/>
  <c r="C52" i="92" s="1"/>
  <c r="I21" i="90"/>
  <c r="L21" i="90" s="1"/>
  <c r="J21" i="90" s="1"/>
  <c r="D21" i="92" s="1"/>
  <c r="E21" i="92" s="1"/>
  <c r="C8" i="92"/>
  <c r="E30" i="90"/>
  <c r="G30" i="90" s="1"/>
  <c r="I55" i="90"/>
  <c r="L55" i="90" s="1"/>
  <c r="J55" i="90" s="1"/>
  <c r="D55" i="92" s="1"/>
  <c r="E55" i="92" s="1"/>
  <c r="C64" i="91"/>
  <c r="E16" i="90"/>
  <c r="G16" i="90" s="1"/>
  <c r="K16" i="90" s="1"/>
  <c r="K17" i="90"/>
  <c r="I17" i="90"/>
  <c r="I56" i="90"/>
  <c r="K56" i="90"/>
  <c r="E53" i="90" l="1"/>
  <c r="G53" i="90" s="1"/>
  <c r="K53" i="90" s="1"/>
  <c r="C55" i="92"/>
  <c r="C27" i="92"/>
  <c r="E20" i="90"/>
  <c r="G20" i="90" s="1"/>
  <c r="K20" i="90" s="1"/>
  <c r="I24" i="90"/>
  <c r="L24" i="90" s="1"/>
  <c r="J24" i="90" s="1"/>
  <c r="D24" i="92" s="1"/>
  <c r="E24" i="92" s="1"/>
  <c r="F24" i="92" s="1"/>
  <c r="E46" i="90"/>
  <c r="G46" i="90" s="1"/>
  <c r="K46" i="90" s="1"/>
  <c r="I27" i="90"/>
  <c r="E59" i="90"/>
  <c r="G59" i="90" s="1"/>
  <c r="K59" i="90" s="1"/>
  <c r="C31" i="92"/>
  <c r="E52" i="90"/>
  <c r="G52" i="90" s="1"/>
  <c r="E32" i="90"/>
  <c r="G32" i="90" s="1"/>
  <c r="K32" i="90" s="1"/>
  <c r="E29" i="90"/>
  <c r="G29" i="90" s="1"/>
  <c r="K29" i="90" s="1"/>
  <c r="K62" i="90"/>
  <c r="L62" i="90" s="1"/>
  <c r="J62" i="90" s="1"/>
  <c r="D62" i="92" s="1"/>
  <c r="E62" i="92" s="1"/>
  <c r="L13" i="90"/>
  <c r="J13" i="90" s="1"/>
  <c r="D13" i="92" s="1"/>
  <c r="E13" i="92" s="1"/>
  <c r="C40" i="92"/>
  <c r="E34" i="90"/>
  <c r="G34" i="90" s="1"/>
  <c r="K34" i="90" s="1"/>
  <c r="E47" i="90"/>
  <c r="G47" i="90" s="1"/>
  <c r="K47" i="90" s="1"/>
  <c r="C50" i="92"/>
  <c r="C28" i="92"/>
  <c r="E60" i="90"/>
  <c r="G60" i="90" s="1"/>
  <c r="K60" i="90" s="1"/>
  <c r="L43" i="90"/>
  <c r="J43" i="90" s="1"/>
  <c r="D43" i="92" s="1"/>
  <c r="E43" i="92" s="1"/>
  <c r="F43" i="92" s="1"/>
  <c r="C62" i="92"/>
  <c r="K40" i="90"/>
  <c r="L40" i="90" s="1"/>
  <c r="J40" i="90" s="1"/>
  <c r="D40" i="92" s="1"/>
  <c r="E40" i="92" s="1"/>
  <c r="C14" i="92"/>
  <c r="C35" i="92"/>
  <c r="E63" i="90"/>
  <c r="G63" i="90" s="1"/>
  <c r="I63" i="90" s="1"/>
  <c r="I11" i="90"/>
  <c r="L11" i="90" s="1"/>
  <c r="J11" i="90" s="1"/>
  <c r="D11" i="92" s="1"/>
  <c r="E33" i="90"/>
  <c r="G33" i="90" s="1"/>
  <c r="I33" i="90" s="1"/>
  <c r="I9" i="90"/>
  <c r="L9" i="90" s="1"/>
  <c r="J9" i="90" s="1"/>
  <c r="D9" i="92" s="1"/>
  <c r="E9" i="92" s="1"/>
  <c r="F9" i="92" s="1"/>
  <c r="C25" i="92"/>
  <c r="E6" i="90"/>
  <c r="G6" i="90" s="1"/>
  <c r="K6" i="90" s="1"/>
  <c r="E44" i="90"/>
  <c r="G44" i="90" s="1"/>
  <c r="I44" i="90" s="1"/>
  <c r="C39" i="92"/>
  <c r="C45" i="92"/>
  <c r="C38" i="92"/>
  <c r="I49" i="90"/>
  <c r="L49" i="90" s="1"/>
  <c r="J49" i="90" s="1"/>
  <c r="D49" i="92" s="1"/>
  <c r="E49" i="92" s="1"/>
  <c r="C37" i="92"/>
  <c r="E48" i="90"/>
  <c r="G48" i="90" s="1"/>
  <c r="K48" i="90" s="1"/>
  <c r="C57" i="92"/>
  <c r="E51" i="90"/>
  <c r="G51" i="90" s="1"/>
  <c r="K51" i="90" s="1"/>
  <c r="I58" i="90"/>
  <c r="K58" i="90"/>
  <c r="C49" i="92"/>
  <c r="C15" i="92"/>
  <c r="C58" i="92"/>
  <c r="E22" i="90"/>
  <c r="G22" i="90" s="1"/>
  <c r="K22" i="90" s="1"/>
  <c r="E7" i="90"/>
  <c r="G7" i="90" s="1"/>
  <c r="J7" i="90" s="1"/>
  <c r="D7" i="92" s="1"/>
  <c r="E7" i="92" s="1"/>
  <c r="C23" i="92"/>
  <c r="C18" i="92"/>
  <c r="C42" i="92"/>
  <c r="C10" i="92"/>
  <c r="C54" i="92"/>
  <c r="I38" i="90"/>
  <c r="L38" i="90" s="1"/>
  <c r="J38" i="90" s="1"/>
  <c r="D38" i="92" s="1"/>
  <c r="E38" i="92" s="1"/>
  <c r="C12" i="92"/>
  <c r="I41" i="90"/>
  <c r="L41" i="90" s="1"/>
  <c r="J41" i="90" s="1"/>
  <c r="D41" i="92" s="1"/>
  <c r="E41" i="92" s="1"/>
  <c r="C11" i="92"/>
  <c r="C41" i="92"/>
  <c r="O64" i="91"/>
  <c r="E36" i="90"/>
  <c r="G36" i="90" s="1"/>
  <c r="K36" i="90" s="1"/>
  <c r="E61" i="90"/>
  <c r="G61" i="90" s="1"/>
  <c r="K61" i="90" s="1"/>
  <c r="E26" i="90"/>
  <c r="G26" i="90" s="1"/>
  <c r="K26" i="90" s="1"/>
  <c r="I8" i="90"/>
  <c r="L8" i="90" s="1"/>
  <c r="J8" i="90" s="1"/>
  <c r="D8" i="92" s="1"/>
  <c r="E8" i="92" s="1"/>
  <c r="K31" i="90"/>
  <c r="L31" i="90" s="1"/>
  <c r="J31" i="90" s="1"/>
  <c r="D31" i="92" s="1"/>
  <c r="I12" i="90"/>
  <c r="L12" i="90" s="1"/>
  <c r="J12" i="90" s="1"/>
  <c r="D12" i="92" s="1"/>
  <c r="E12" i="92" s="1"/>
  <c r="K52" i="90"/>
  <c r="I52" i="90"/>
  <c r="I57" i="90"/>
  <c r="L57" i="90" s="1"/>
  <c r="J57" i="90" s="1"/>
  <c r="D57" i="92" s="1"/>
  <c r="E57" i="92" s="1"/>
  <c r="I14" i="90"/>
  <c r="L14" i="90" s="1"/>
  <c r="J14" i="90" s="1"/>
  <c r="D14" i="92" s="1"/>
  <c r="E14" i="92" s="1"/>
  <c r="I25" i="90"/>
  <c r="L25" i="90" s="1"/>
  <c r="J25" i="90" s="1"/>
  <c r="D25" i="92" s="1"/>
  <c r="E25" i="92" s="1"/>
  <c r="L27" i="90"/>
  <c r="J27" i="90" s="1"/>
  <c r="D27" i="92" s="1"/>
  <c r="E27" i="92" s="1"/>
  <c r="I50" i="90"/>
  <c r="L50" i="90" s="1"/>
  <c r="J50" i="90" s="1"/>
  <c r="D50" i="92" s="1"/>
  <c r="E50" i="92" s="1"/>
  <c r="K37" i="90"/>
  <c r="L37" i="90" s="1"/>
  <c r="J37" i="90" s="1"/>
  <c r="D37" i="92" s="1"/>
  <c r="E37" i="92" s="1"/>
  <c r="F37" i="92" s="1"/>
  <c r="I45" i="90"/>
  <c r="L45" i="90" s="1"/>
  <c r="J45" i="90" s="1"/>
  <c r="D45" i="92" s="1"/>
  <c r="E45" i="92" s="1"/>
  <c r="I53" i="90"/>
  <c r="L53" i="90" s="1"/>
  <c r="J53" i="90" s="1"/>
  <c r="D53" i="92" s="1"/>
  <c r="E53" i="92" s="1"/>
  <c r="K15" i="90"/>
  <c r="I15" i="90"/>
  <c r="K39" i="90"/>
  <c r="I39" i="90"/>
  <c r="K35" i="90"/>
  <c r="I35" i="90"/>
  <c r="K23" i="90"/>
  <c r="I23" i="90"/>
  <c r="K18" i="90"/>
  <c r="I18" i="90"/>
  <c r="K42" i="90"/>
  <c r="I42" i="90"/>
  <c r="K10" i="90"/>
  <c r="I10" i="90"/>
  <c r="K54" i="90"/>
  <c r="I54" i="90"/>
  <c r="K28" i="90"/>
  <c r="I28" i="90"/>
  <c r="K30" i="90"/>
  <c r="I30" i="90"/>
  <c r="K63" i="90"/>
  <c r="F21" i="92"/>
  <c r="F13" i="92"/>
  <c r="F55" i="92"/>
  <c r="I46" i="90"/>
  <c r="L46" i="90" s="1"/>
  <c r="J46" i="90" s="1"/>
  <c r="D46" i="92" s="1"/>
  <c r="E46" i="92" s="1"/>
  <c r="I16" i="90"/>
  <c r="L16" i="90" s="1"/>
  <c r="J16" i="90" s="1"/>
  <c r="D16" i="92" s="1"/>
  <c r="E16" i="92" s="1"/>
  <c r="L56" i="90"/>
  <c r="J56" i="90" s="1"/>
  <c r="D56" i="92" s="1"/>
  <c r="E56" i="92" s="1"/>
  <c r="L17" i="90"/>
  <c r="J17" i="90" s="1"/>
  <c r="D17" i="92" s="1"/>
  <c r="E17" i="92" s="1"/>
  <c r="F19" i="92"/>
  <c r="I34" i="90" l="1"/>
  <c r="I6" i="90"/>
  <c r="L6" i="90" s="1"/>
  <c r="J6" i="90" s="1"/>
  <c r="D6" i="92" s="1"/>
  <c r="F14" i="92"/>
  <c r="K44" i="90"/>
  <c r="I59" i="90"/>
  <c r="L59" i="90" s="1"/>
  <c r="J59" i="90" s="1"/>
  <c r="D59" i="92" s="1"/>
  <c r="E59" i="92" s="1"/>
  <c r="F59" i="92" s="1"/>
  <c r="I20" i="90"/>
  <c r="L20" i="90" s="1"/>
  <c r="J20" i="90" s="1"/>
  <c r="D20" i="92" s="1"/>
  <c r="E20" i="92" s="1"/>
  <c r="F20" i="92" s="1"/>
  <c r="E31" i="92"/>
  <c r="F31" i="92" s="1"/>
  <c r="K33" i="90"/>
  <c r="L33" i="90" s="1"/>
  <c r="J33" i="90" s="1"/>
  <c r="D33" i="92" s="1"/>
  <c r="E33" i="92" s="1"/>
  <c r="I60" i="90"/>
  <c r="L60" i="90" s="1"/>
  <c r="J60" i="90" s="1"/>
  <c r="D60" i="92" s="1"/>
  <c r="E60" i="92" s="1"/>
  <c r="F60" i="92" s="1"/>
  <c r="I29" i="90"/>
  <c r="L29" i="90" s="1"/>
  <c r="J29" i="90" s="1"/>
  <c r="D29" i="92" s="1"/>
  <c r="E29" i="92" s="1"/>
  <c r="F29" i="92" s="1"/>
  <c r="F38" i="92"/>
  <c r="E11" i="92"/>
  <c r="F11" i="92" s="1"/>
  <c r="K7" i="90"/>
  <c r="I32" i="90"/>
  <c r="L32" i="90" s="1"/>
  <c r="J32" i="90" s="1"/>
  <c r="D32" i="92" s="1"/>
  <c r="E32" i="92" s="1"/>
  <c r="F32" i="92" s="1"/>
  <c r="I7" i="90"/>
  <c r="I22" i="90"/>
  <c r="L22" i="90" s="1"/>
  <c r="J22" i="90" s="1"/>
  <c r="D22" i="92" s="1"/>
  <c r="E22" i="92" s="1"/>
  <c r="F22" i="92" s="1"/>
  <c r="I48" i="90"/>
  <c r="L48" i="90" s="1"/>
  <c r="J48" i="90" s="1"/>
  <c r="D48" i="92" s="1"/>
  <c r="E48" i="92" s="1"/>
  <c r="F62" i="92"/>
  <c r="I47" i="90"/>
  <c r="L47" i="90" s="1"/>
  <c r="J47" i="90" s="1"/>
  <c r="D47" i="92" s="1"/>
  <c r="E47" i="92" s="1"/>
  <c r="F47" i="92" s="1"/>
  <c r="I26" i="90"/>
  <c r="L26" i="90" s="1"/>
  <c r="J26" i="90" s="1"/>
  <c r="D26" i="92" s="1"/>
  <c r="E26" i="92" s="1"/>
  <c r="F26" i="92" s="1"/>
  <c r="J51" i="90"/>
  <c r="D51" i="92" s="1"/>
  <c r="E51" i="92" s="1"/>
  <c r="F51" i="92" s="1"/>
  <c r="F41" i="92"/>
  <c r="I51" i="90"/>
  <c r="L51" i="90" s="1"/>
  <c r="L58" i="90"/>
  <c r="J58" i="90" s="1"/>
  <c r="D58" i="92" s="1"/>
  <c r="E58" i="92" s="1"/>
  <c r="F58" i="92" s="1"/>
  <c r="C64" i="92"/>
  <c r="F49" i="92"/>
  <c r="E65" i="90"/>
  <c r="I36" i="90"/>
  <c r="L36" i="90" s="1"/>
  <c r="J36" i="90" s="1"/>
  <c r="D36" i="92" s="1"/>
  <c r="E36" i="92" s="1"/>
  <c r="F36" i="92" s="1"/>
  <c r="I61" i="90"/>
  <c r="L61" i="90" s="1"/>
  <c r="J61" i="90" s="1"/>
  <c r="D61" i="92" s="1"/>
  <c r="E61" i="92" s="1"/>
  <c r="F61" i="92" s="1"/>
  <c r="F45" i="92"/>
  <c r="F40" i="92"/>
  <c r="F53" i="92"/>
  <c r="F50" i="92"/>
  <c r="F27" i="92"/>
  <c r="F7" i="92"/>
  <c r="F25" i="92"/>
  <c r="F57" i="92"/>
  <c r="L52" i="90"/>
  <c r="J52" i="90" s="1"/>
  <c r="D52" i="92" s="1"/>
  <c r="E52" i="92" s="1"/>
  <c r="L34" i="90"/>
  <c r="J34" i="90" s="1"/>
  <c r="D34" i="92" s="1"/>
  <c r="E34" i="92" s="1"/>
  <c r="L44" i="90"/>
  <c r="J44" i="90" s="1"/>
  <c r="D44" i="92" s="1"/>
  <c r="E44" i="92" s="1"/>
  <c r="L54" i="90"/>
  <c r="J54" i="90" s="1"/>
  <c r="D54" i="92" s="1"/>
  <c r="E54" i="92" s="1"/>
  <c r="L42" i="90"/>
  <c r="J42" i="90" s="1"/>
  <c r="D42" i="92" s="1"/>
  <c r="E42" i="92" s="1"/>
  <c r="L23" i="90"/>
  <c r="J23" i="90" s="1"/>
  <c r="D23" i="92" s="1"/>
  <c r="E23" i="92" s="1"/>
  <c r="L39" i="90"/>
  <c r="J39" i="90" s="1"/>
  <c r="D39" i="92" s="1"/>
  <c r="E39" i="92" s="1"/>
  <c r="L63" i="90"/>
  <c r="J63" i="90" s="1"/>
  <c r="D63" i="92" s="1"/>
  <c r="E63" i="92" s="1"/>
  <c r="L30" i="90"/>
  <c r="J30" i="90" s="1"/>
  <c r="D30" i="92" s="1"/>
  <c r="E30" i="92" s="1"/>
  <c r="L28" i="90"/>
  <c r="J28" i="90" s="1"/>
  <c r="D28" i="92" s="1"/>
  <c r="E28" i="92" s="1"/>
  <c r="L10" i="90"/>
  <c r="J10" i="90" s="1"/>
  <c r="D10" i="92" s="1"/>
  <c r="E10" i="92" s="1"/>
  <c r="L18" i="90"/>
  <c r="J18" i="90" s="1"/>
  <c r="D18" i="92" s="1"/>
  <c r="E18" i="92" s="1"/>
  <c r="L35" i="90"/>
  <c r="J35" i="90" s="1"/>
  <c r="D35" i="92" s="1"/>
  <c r="E35" i="92" s="1"/>
  <c r="L15" i="90"/>
  <c r="J15" i="90" s="1"/>
  <c r="D15" i="92" s="1"/>
  <c r="E15" i="92" s="1"/>
  <c r="F56" i="92"/>
  <c r="F17" i="92"/>
  <c r="F12" i="92"/>
  <c r="F46" i="92"/>
  <c r="F16" i="92"/>
  <c r="F8" i="92"/>
  <c r="E6" i="92"/>
  <c r="L7" i="90" l="1"/>
  <c r="F63" i="92"/>
  <c r="F15" i="92"/>
  <c r="F28" i="92"/>
  <c r="F39" i="92"/>
  <c r="F44" i="92"/>
  <c r="F52" i="92"/>
  <c r="F35" i="92"/>
  <c r="F30" i="92"/>
  <c r="F23" i="92"/>
  <c r="F48" i="92"/>
  <c r="F18" i="92"/>
  <c r="F33" i="92"/>
  <c r="F42" i="92"/>
  <c r="F34" i="92"/>
  <c r="F10" i="92"/>
  <c r="F54" i="92"/>
  <c r="J65" i="90"/>
  <c r="D64" i="92"/>
  <c r="F6" i="92"/>
  <c r="E64" i="92"/>
  <c r="F64" i="92" l="1"/>
  <c r="G26" i="92" l="1"/>
  <c r="H26" i="92" s="1"/>
  <c r="G10" i="92"/>
  <c r="H10" i="92" s="1"/>
  <c r="G41" i="92"/>
  <c r="H41" i="92" s="1"/>
  <c r="G46" i="92"/>
  <c r="H46" i="92" s="1"/>
  <c r="G14" i="92"/>
  <c r="H14" i="92" s="1"/>
  <c r="G54" i="92"/>
  <c r="H54" i="92" s="1"/>
  <c r="G47" i="92"/>
  <c r="H47" i="92" s="1"/>
  <c r="G32" i="92"/>
  <c r="H32" i="92" s="1"/>
  <c r="G22" i="92"/>
  <c r="H22" i="92" s="1"/>
  <c r="G16" i="92"/>
  <c r="H16" i="92" s="1"/>
  <c r="G59" i="92"/>
  <c r="H59" i="92" s="1"/>
  <c r="G39" i="92"/>
  <c r="H39" i="92" s="1"/>
  <c r="G44" i="92"/>
  <c r="H44" i="92" s="1"/>
  <c r="G60" i="92"/>
  <c r="H60" i="92" s="1"/>
  <c r="G45" i="92"/>
  <c r="H45" i="92" s="1"/>
  <c r="G57" i="92"/>
  <c r="H57" i="92" s="1"/>
  <c r="G49" i="92"/>
  <c r="H49" i="92" s="1"/>
  <c r="G18" i="92"/>
  <c r="H18" i="92" s="1"/>
  <c r="G55" i="92"/>
  <c r="H55" i="92" s="1"/>
  <c r="G13" i="92"/>
  <c r="H13" i="92" s="1"/>
  <c r="G40" i="92"/>
  <c r="H40" i="92" s="1"/>
  <c r="G34" i="92"/>
  <c r="H34" i="92" s="1"/>
  <c r="G50" i="92"/>
  <c r="H50" i="92" s="1"/>
  <c r="G38" i="92"/>
  <c r="H38" i="92" s="1"/>
  <c r="G48" i="92"/>
  <c r="H48" i="92" s="1"/>
  <c r="G43" i="92"/>
  <c r="H43" i="92" s="1"/>
  <c r="G25" i="92"/>
  <c r="H25" i="92" s="1"/>
  <c r="G52" i="92"/>
  <c r="H52" i="92" s="1"/>
  <c r="G63" i="92"/>
  <c r="H63" i="92" s="1"/>
  <c r="G28" i="92"/>
  <c r="H28" i="92" s="1"/>
  <c r="G53" i="92"/>
  <c r="H53" i="92" s="1"/>
  <c r="G35" i="92"/>
  <c r="H35" i="92" s="1"/>
  <c r="G9" i="92"/>
  <c r="H9" i="92" s="1"/>
  <c r="G62" i="92"/>
  <c r="H62" i="92" s="1"/>
  <c r="G15" i="92"/>
  <c r="H15" i="92" s="1"/>
  <c r="G24" i="92"/>
  <c r="H24" i="92" s="1"/>
  <c r="G61" i="92"/>
  <c r="H61" i="92" s="1"/>
  <c r="G36" i="92"/>
  <c r="H36" i="92" s="1"/>
  <c r="G20" i="92"/>
  <c r="H20" i="92" s="1"/>
  <c r="G21" i="92"/>
  <c r="H21" i="92" s="1"/>
  <c r="G23" i="92"/>
  <c r="H23" i="92" s="1"/>
  <c r="G42" i="92"/>
  <c r="H42" i="92" s="1"/>
  <c r="G33" i="92"/>
  <c r="H33" i="92" s="1"/>
  <c r="G58" i="92"/>
  <c r="H58" i="92" s="1"/>
  <c r="G17" i="92"/>
  <c r="H17" i="92" s="1"/>
  <c r="G11" i="92"/>
  <c r="H11" i="92" s="1"/>
  <c r="G8" i="92"/>
  <c r="H8" i="92" s="1"/>
  <c r="G29" i="92"/>
  <c r="H29" i="92" s="1"/>
  <c r="G12" i="92"/>
  <c r="H12" i="92" s="1"/>
  <c r="G56" i="92"/>
  <c r="H56" i="92" s="1"/>
  <c r="G51" i="92"/>
  <c r="H51" i="92" s="1"/>
  <c r="G37" i="92"/>
  <c r="H37" i="92" s="1"/>
  <c r="G7" i="92"/>
  <c r="H7" i="92" s="1"/>
  <c r="G19" i="92"/>
  <c r="H19" i="92" s="1"/>
  <c r="G30" i="92"/>
  <c r="H30" i="92" s="1"/>
  <c r="G27" i="92"/>
  <c r="H27" i="92" s="1"/>
  <c r="G31" i="92"/>
  <c r="H31" i="92" s="1"/>
  <c r="G6" i="92"/>
  <c r="P37" i="91" l="1"/>
  <c r="P24" i="91"/>
  <c r="P13" i="91"/>
  <c r="P39" i="91"/>
  <c r="P51" i="91"/>
  <c r="P33" i="91"/>
  <c r="P20" i="91"/>
  <c r="P15" i="91"/>
  <c r="P59" i="91"/>
  <c r="P47" i="91"/>
  <c r="P36" i="91"/>
  <c r="P62" i="91"/>
  <c r="P43" i="91"/>
  <c r="P18" i="91"/>
  <c r="P16" i="91"/>
  <c r="P10" i="91"/>
  <c r="P17" i="91"/>
  <c r="P63" i="91"/>
  <c r="P40" i="91"/>
  <c r="P44" i="91"/>
  <c r="P14" i="91"/>
  <c r="P29" i="91"/>
  <c r="P21" i="91"/>
  <c r="P52" i="91"/>
  <c r="P32" i="91"/>
  <c r="P25" i="91"/>
  <c r="P45" i="91"/>
  <c r="P19" i="91"/>
  <c r="P42" i="91"/>
  <c r="P28" i="91"/>
  <c r="P27" i="91"/>
  <c r="P58" i="91"/>
  <c r="P35" i="91"/>
  <c r="P38" i="91"/>
  <c r="P57" i="91"/>
  <c r="P46" i="91"/>
  <c r="P30" i="91"/>
  <c r="P8" i="91"/>
  <c r="P53" i="91"/>
  <c r="P50" i="91"/>
  <c r="P55" i="91"/>
  <c r="P41" i="91"/>
  <c r="P11" i="91"/>
  <c r="P31" i="91"/>
  <c r="P48" i="91"/>
  <c r="G64" i="92"/>
  <c r="H6" i="92"/>
  <c r="P9" i="91" l="1"/>
  <c r="P54" i="91"/>
  <c r="P23" i="91"/>
  <c r="P60" i="91"/>
  <c r="P12" i="91"/>
  <c r="P34" i="91"/>
  <c r="P26" i="91"/>
  <c r="P22" i="91"/>
  <c r="Q22" i="91" s="1"/>
  <c r="P49" i="91"/>
  <c r="P61" i="91"/>
  <c r="P7" i="91"/>
  <c r="P56" i="91"/>
  <c r="Q8" i="91"/>
  <c r="Q11" i="91"/>
  <c r="Q20" i="91"/>
  <c r="Q52" i="91"/>
  <c r="Q47" i="91"/>
  <c r="Q40" i="91"/>
  <c r="Q57" i="91"/>
  <c r="Q27" i="91"/>
  <c r="Q31" i="91"/>
  <c r="Q18" i="91"/>
  <c r="Q42" i="91"/>
  <c r="Q25" i="91"/>
  <c r="Q16" i="91"/>
  <c r="Q39" i="91"/>
  <c r="Q43" i="91"/>
  <c r="Q30" i="91"/>
  <c r="Q15" i="91"/>
  <c r="Q38" i="91"/>
  <c r="Q21" i="91"/>
  <c r="Q36" i="91"/>
  <c r="Q50" i="91"/>
  <c r="Q37" i="91"/>
  <c r="Q14" i="91"/>
  <c r="Q63" i="91"/>
  <c r="Q9" i="91"/>
  <c r="Q32" i="91"/>
  <c r="Q35" i="91"/>
  <c r="Q53" i="91"/>
  <c r="Q46" i="91"/>
  <c r="Q28" i="91"/>
  <c r="Q58" i="91"/>
  <c r="Q29" i="91"/>
  <c r="Q41" i="91"/>
  <c r="Q44" i="91"/>
  <c r="Q62" i="91"/>
  <c r="Q45" i="91"/>
  <c r="Q48" i="91"/>
  <c r="Q19" i="91"/>
  <c r="Q13" i="91"/>
  <c r="Q55" i="91"/>
  <c r="Q10" i="91"/>
  <c r="Q24" i="91"/>
  <c r="Q17" i="91"/>
  <c r="Q59" i="91"/>
  <c r="Q33" i="91"/>
  <c r="Q51" i="91"/>
  <c r="H64" i="92"/>
  <c r="Q12" i="91" l="1"/>
  <c r="Q54" i="91"/>
  <c r="Q60" i="91"/>
  <c r="Q34" i="91"/>
  <c r="Q23" i="91"/>
  <c r="Q26" i="91"/>
  <c r="Q7" i="91"/>
  <c r="AB65" i="109"/>
  <c r="Q49" i="91"/>
  <c r="Q61" i="91"/>
  <c r="Q56" i="91"/>
  <c r="P6" i="91"/>
  <c r="DK11" i="97" l="1"/>
  <c r="DK45" i="97"/>
  <c r="DK47" i="97"/>
  <c r="DK53" i="97"/>
  <c r="DK19" i="97"/>
  <c r="DK16" i="97"/>
  <c r="DK17" i="97"/>
  <c r="DK30" i="97"/>
  <c r="DK20" i="97"/>
  <c r="DK54" i="97"/>
  <c r="DK29" i="97"/>
  <c r="DK21" i="97"/>
  <c r="DK14" i="97"/>
  <c r="DK37" i="97"/>
  <c r="DK39" i="97"/>
  <c r="DK22" i="97"/>
  <c r="DK12" i="97"/>
  <c r="DK9" i="97"/>
  <c r="P64" i="91"/>
  <c r="Q6" i="91"/>
  <c r="Q64" i="91" s="1"/>
  <c r="DK43" i="97" l="1"/>
  <c r="DK52" i="97"/>
  <c r="DK49" i="97"/>
  <c r="DK15" i="97"/>
  <c r="DK32" i="97"/>
  <c r="DK38" i="97"/>
  <c r="DK41" i="97"/>
  <c r="DK59" i="97"/>
  <c r="DK62" i="97"/>
  <c r="DK63" i="97"/>
  <c r="DK60" i="97"/>
  <c r="DK40" i="97"/>
  <c r="DK61" i="97"/>
  <c r="DK24" i="97"/>
  <c r="DK27" i="97"/>
  <c r="DK46" i="97"/>
  <c r="DK25" i="97"/>
  <c r="DK48" i="97"/>
  <c r="DK50" i="97"/>
  <c r="DK44" i="97"/>
  <c r="DK57" i="97"/>
  <c r="DK58" i="97"/>
  <c r="DK64" i="97"/>
  <c r="DK51" i="97"/>
  <c r="DL19" i="97"/>
  <c r="DL47" i="97"/>
  <c r="DL29" i="97"/>
  <c r="DL54" i="97"/>
  <c r="DL9" i="97"/>
  <c r="DL30" i="97"/>
  <c r="DL11" i="97"/>
  <c r="DL14" i="97"/>
  <c r="DK26" i="97"/>
  <c r="DK13" i="97"/>
  <c r="DK56" i="97"/>
  <c r="DK23" i="97"/>
  <c r="DK8" i="97"/>
  <c r="DK35" i="97"/>
  <c r="DK36" i="97"/>
  <c r="DK10" i="97"/>
  <c r="DK18" i="97"/>
  <c r="DK55" i="97"/>
  <c r="DK42" i="97"/>
  <c r="DK33" i="97"/>
  <c r="DK28" i="97"/>
  <c r="DK31" i="97"/>
  <c r="DK34" i="97"/>
  <c r="DL39" i="97" l="1"/>
  <c r="DL16" i="97"/>
  <c r="DL45" i="97"/>
  <c r="DL21" i="97"/>
  <c r="DL22" i="97"/>
  <c r="DL37" i="97"/>
  <c r="DL53" i="97"/>
  <c r="DL20" i="97"/>
  <c r="DL12" i="97"/>
  <c r="DL17" i="97"/>
  <c r="DL8" i="97"/>
  <c r="DL52" i="97"/>
  <c r="DL35" i="97" l="1"/>
  <c r="DL28" i="97"/>
  <c r="DL34" i="97"/>
  <c r="DL13" i="97"/>
  <c r="DL23" i="97"/>
  <c r="DL18" i="97"/>
  <c r="DL10" i="97"/>
  <c r="DL31" i="97"/>
  <c r="DL26" i="97"/>
  <c r="DL55" i="97"/>
  <c r="DL36" i="97"/>
  <c r="DL56" i="97"/>
  <c r="DL33" i="97"/>
  <c r="DL42" i="97"/>
  <c r="DL43" i="97"/>
  <c r="DK7" i="97"/>
  <c r="DK65" i="97" s="1"/>
  <c r="DL48" i="97"/>
  <c r="DL27" i="97"/>
  <c r="DL44" i="97"/>
  <c r="DL59" i="97"/>
  <c r="DL40" i="97"/>
  <c r="DL64" i="97"/>
  <c r="DL50" i="97"/>
  <c r="DL32" i="97"/>
  <c r="DL57" i="97"/>
  <c r="DL46" i="97"/>
  <c r="DL25" i="97"/>
  <c r="DL58" i="97"/>
  <c r="DL61" i="97"/>
  <c r="DL51" i="97"/>
  <c r="DL38" i="97"/>
  <c r="DL62" i="97"/>
  <c r="DL41" i="97"/>
  <c r="DL49" i="97"/>
  <c r="DL24" i="97"/>
  <c r="DL63" i="97"/>
  <c r="DL15" i="97"/>
  <c r="DL60" i="97"/>
  <c r="DL7" i="97" l="1"/>
  <c r="DL65" i="97" s="1"/>
  <c r="DM7" i="97" s="1"/>
  <c r="DM65" i="97" l="1"/>
  <c r="DM14" i="97"/>
  <c r="DM9" i="97"/>
  <c r="DM30" i="97"/>
  <c r="DM47" i="97"/>
  <c r="DM54" i="97"/>
  <c r="DM19" i="97"/>
  <c r="DM11" i="97"/>
  <c r="DM39" i="97"/>
  <c r="DM37" i="97"/>
  <c r="DM21" i="97"/>
  <c r="DM22" i="97"/>
  <c r="DM16" i="97"/>
  <c r="DM45" i="97"/>
  <c r="DM29" i="97"/>
  <c r="DM53" i="97"/>
  <c r="DM26" i="97"/>
  <c r="DM52" i="97"/>
  <c r="DM31" i="97"/>
  <c r="DM20" i="97"/>
  <c r="DM35" i="97"/>
  <c r="DM42" i="97"/>
  <c r="DM10" i="97"/>
  <c r="DM55" i="97"/>
  <c r="DM28" i="97"/>
  <c r="DM12" i="97"/>
  <c r="DM17" i="97"/>
  <c r="DM13" i="97"/>
  <c r="DM34" i="97"/>
  <c r="DM56" i="97"/>
  <c r="DM23" i="97"/>
  <c r="DM8" i="97"/>
  <c r="DM36" i="97"/>
  <c r="DM18" i="97"/>
  <c r="DM33" i="97"/>
  <c r="DM62" i="97"/>
  <c r="DM60" i="97"/>
  <c r="DM41" i="97"/>
  <c r="DM15" i="97"/>
  <c r="DM64" i="97"/>
  <c r="DM43" i="97"/>
  <c r="DM51" i="97"/>
  <c r="DM25" i="97"/>
  <c r="DM38" i="97"/>
  <c r="DM58" i="97"/>
  <c r="DM40" i="97"/>
  <c r="DM63" i="97"/>
  <c r="DM57" i="97"/>
  <c r="DM50" i="97"/>
  <c r="DM61" i="97"/>
  <c r="DM46" i="97"/>
  <c r="DM44" i="97"/>
  <c r="DM24" i="97"/>
  <c r="DM59" i="97"/>
  <c r="DM27" i="97"/>
  <c r="DM49" i="97"/>
  <c r="DM32" i="97"/>
  <c r="DM48" i="97"/>
  <c r="G27" i="129" l="1"/>
  <c r="M27" i="129" s="1"/>
  <c r="AF55" i="119"/>
  <c r="G55" i="129"/>
  <c r="M55" i="129" s="1"/>
  <c r="G35" i="129"/>
  <c r="M35" i="129" s="1"/>
  <c r="AF16" i="119"/>
  <c r="G16" i="129"/>
  <c r="M16" i="129" s="1"/>
  <c r="G12" i="129"/>
  <c r="M12" i="129" s="1"/>
  <c r="G22" i="129"/>
  <c r="M22" i="129" s="1"/>
  <c r="G24" i="129"/>
  <c r="M24" i="129" s="1"/>
  <c r="AF47" i="119"/>
  <c r="G47" i="129"/>
  <c r="M47" i="129" s="1"/>
  <c r="G7" i="129"/>
  <c r="M7" i="129" s="1"/>
  <c r="AG58" i="109"/>
  <c r="G58" i="129"/>
  <c r="M58" i="129" s="1"/>
  <c r="G25" i="129"/>
  <c r="M25" i="129" s="1"/>
  <c r="G62" i="129"/>
  <c r="M62" i="129" s="1"/>
  <c r="G48" i="129"/>
  <c r="M48" i="129" s="1"/>
  <c r="G32" i="129"/>
  <c r="M32" i="129" s="1"/>
  <c r="G8" i="129"/>
  <c r="M8" i="129" s="1"/>
  <c r="AG60" i="109"/>
  <c r="G60" i="129"/>
  <c r="M60" i="129" s="1"/>
  <c r="G39" i="129"/>
  <c r="M39" i="129" s="1"/>
  <c r="AG45" i="109"/>
  <c r="G45" i="129"/>
  <c r="M45" i="129" s="1"/>
  <c r="G9" i="129"/>
  <c r="M9" i="129" s="1"/>
  <c r="G28" i="129"/>
  <c r="M28" i="129" s="1"/>
  <c r="G40" i="129"/>
  <c r="M40" i="129" s="1"/>
  <c r="G46" i="129"/>
  <c r="M46" i="129" s="1"/>
  <c r="G51" i="129"/>
  <c r="M51" i="129" s="1"/>
  <c r="AG37" i="109"/>
  <c r="G37" i="129"/>
  <c r="M37" i="129" s="1"/>
  <c r="G13" i="129"/>
  <c r="M13" i="129" s="1"/>
  <c r="AG36" i="109"/>
  <c r="G36" i="129"/>
  <c r="M36" i="129" s="1"/>
  <c r="G30" i="129"/>
  <c r="M30" i="129" s="1"/>
  <c r="AF15" i="119"/>
  <c r="G15" i="129"/>
  <c r="M15" i="129" s="1"/>
  <c r="G10" i="129"/>
  <c r="M10" i="129" s="1"/>
  <c r="G41" i="129"/>
  <c r="M41" i="129" s="1"/>
  <c r="G29" i="129"/>
  <c r="M29" i="129" s="1"/>
  <c r="AF19" i="119"/>
  <c r="G19" i="129"/>
  <c r="M19" i="129" s="1"/>
  <c r="G11" i="129"/>
  <c r="M11" i="129" s="1"/>
  <c r="AF31" i="119"/>
  <c r="G31" i="129"/>
  <c r="M31" i="129" s="1"/>
  <c r="G18" i="129"/>
  <c r="M18" i="129" s="1"/>
  <c r="AF26" i="119"/>
  <c r="G26" i="129"/>
  <c r="M26" i="129" s="1"/>
  <c r="G33" i="129"/>
  <c r="M33" i="129" s="1"/>
  <c r="AF61" i="119"/>
  <c r="G61" i="129"/>
  <c r="M61" i="129" s="1"/>
  <c r="G49" i="129"/>
  <c r="M49" i="129" s="1"/>
  <c r="AF57" i="119"/>
  <c r="G57" i="129"/>
  <c r="M57" i="129" s="1"/>
  <c r="G17" i="129"/>
  <c r="M17" i="129" s="1"/>
  <c r="AF21" i="119"/>
  <c r="G21" i="129"/>
  <c r="M21" i="129" s="1"/>
  <c r="G23" i="129"/>
  <c r="M23" i="129" s="1"/>
  <c r="AF38" i="119"/>
  <c r="G38" i="129"/>
  <c r="M38" i="129" s="1"/>
  <c r="G42" i="129"/>
  <c r="M42" i="129" s="1"/>
  <c r="AF53" i="119"/>
  <c r="G53" i="129"/>
  <c r="M53" i="129" s="1"/>
  <c r="G52" i="129"/>
  <c r="M52" i="129" s="1"/>
  <c r="AF63" i="119"/>
  <c r="G63" i="129"/>
  <c r="M63" i="129" s="1"/>
  <c r="G54" i="129"/>
  <c r="M54" i="129" s="1"/>
  <c r="AF43" i="119"/>
  <c r="G43" i="129"/>
  <c r="M43" i="129" s="1"/>
  <c r="G34" i="129"/>
  <c r="M34" i="129" s="1"/>
  <c r="AF50" i="119"/>
  <c r="G50" i="129"/>
  <c r="M50" i="129" s="1"/>
  <c r="G44" i="129"/>
  <c r="M44" i="129" s="1"/>
  <c r="G20" i="129"/>
  <c r="M20" i="129" s="1"/>
  <c r="G56" i="129"/>
  <c r="M56" i="129" s="1"/>
  <c r="AG59" i="109"/>
  <c r="G59" i="129"/>
  <c r="M59" i="129" s="1"/>
  <c r="G14" i="129"/>
  <c r="M14" i="129" s="1"/>
  <c r="AF37" i="119"/>
  <c r="AF25" i="119"/>
  <c r="AF48" i="119"/>
  <c r="AF8" i="119"/>
  <c r="AF39" i="119"/>
  <c r="AF9" i="119"/>
  <c r="AF40" i="119"/>
  <c r="AF51" i="119"/>
  <c r="AF11" i="119"/>
  <c r="AF18" i="119"/>
  <c r="AF33" i="119"/>
  <c r="AF49" i="119"/>
  <c r="AF17" i="119"/>
  <c r="AF23" i="119"/>
  <c r="AF42" i="119"/>
  <c r="AF27" i="119"/>
  <c r="AF52" i="119"/>
  <c r="AF13" i="119"/>
  <c r="AF54" i="119"/>
  <c r="AF35" i="119"/>
  <c r="AF36" i="119"/>
  <c r="AF34" i="119"/>
  <c r="AF44" i="119"/>
  <c r="AF30" i="119"/>
  <c r="AF56" i="119"/>
  <c r="AF12" i="119"/>
  <c r="AF10" i="119"/>
  <c r="AF24" i="119"/>
  <c r="AF29" i="119"/>
  <c r="AF14" i="119"/>
  <c r="AF7" i="119"/>
  <c r="AG27" i="109"/>
  <c r="AG13" i="109"/>
  <c r="AG54" i="109"/>
  <c r="AG34" i="109"/>
  <c r="AG30" i="109"/>
  <c r="AG12" i="109"/>
  <c r="AG29" i="109"/>
  <c r="AG7" i="109"/>
  <c r="AG25" i="109"/>
  <c r="AG48" i="109"/>
  <c r="AG39" i="109"/>
  <c r="AG40" i="109"/>
  <c r="AG11" i="109"/>
  <c r="AG18" i="109"/>
  <c r="AG33" i="109"/>
  <c r="AG49" i="109"/>
  <c r="AG17" i="109"/>
  <c r="AG23" i="109"/>
  <c r="AG42" i="109"/>
  <c r="AG52" i="109"/>
  <c r="AG35" i="109"/>
  <c r="AG44" i="109"/>
  <c r="AG56" i="109"/>
  <c r="AG10" i="109"/>
  <c r="AG24" i="109"/>
  <c r="AG14" i="109"/>
  <c r="AG8" i="109"/>
  <c r="AG9" i="109"/>
  <c r="AG51" i="109"/>
  <c r="F7" i="120" l="1"/>
  <c r="G6" i="129"/>
  <c r="AG62" i="109"/>
  <c r="AG32" i="109"/>
  <c r="AG31" i="109"/>
  <c r="AG26" i="109"/>
  <c r="AG28" i="109"/>
  <c r="AG21" i="109"/>
  <c r="AG38" i="109"/>
  <c r="AG61" i="109"/>
  <c r="AG22" i="109"/>
  <c r="AG15" i="109"/>
  <c r="J49" i="67"/>
  <c r="K49" i="67" s="1"/>
  <c r="O49" i="67" s="1"/>
  <c r="F51" i="120"/>
  <c r="J62" i="67"/>
  <c r="K62" i="67" s="1"/>
  <c r="O62" i="67" s="1"/>
  <c r="F64" i="120"/>
  <c r="J37" i="67"/>
  <c r="K37" i="67" s="1"/>
  <c r="O37" i="67" s="1"/>
  <c r="F39" i="120"/>
  <c r="J39" i="120" s="1"/>
  <c r="J56" i="67"/>
  <c r="K56" i="67" s="1"/>
  <c r="O56" i="67" s="1"/>
  <c r="F58" i="120"/>
  <c r="J30" i="67"/>
  <c r="K30" i="67" s="1"/>
  <c r="O30" i="67" s="1"/>
  <c r="F32" i="120"/>
  <c r="J32" i="120" s="1"/>
  <c r="J40" i="67"/>
  <c r="K40" i="67" s="1"/>
  <c r="O40" i="67" s="1"/>
  <c r="F42" i="120"/>
  <c r="J42" i="120" s="1"/>
  <c r="J14" i="67"/>
  <c r="K14" i="67" s="1"/>
  <c r="O14" i="67" s="1"/>
  <c r="F16" i="120"/>
  <c r="J36" i="67"/>
  <c r="K36" i="67" s="1"/>
  <c r="O36" i="67" s="1"/>
  <c r="F38" i="120"/>
  <c r="J38" i="120" s="1"/>
  <c r="J45" i="67"/>
  <c r="K45" i="67" s="1"/>
  <c r="O45" i="67" s="1"/>
  <c r="F47" i="120"/>
  <c r="J47" i="120" s="1"/>
  <c r="J27" i="67"/>
  <c r="K27" i="67" s="1"/>
  <c r="O27" i="67" s="1"/>
  <c r="F29" i="120"/>
  <c r="J29" i="120" s="1"/>
  <c r="J44" i="67"/>
  <c r="K44" i="67" s="1"/>
  <c r="O44" i="67" s="1"/>
  <c r="F46" i="120"/>
  <c r="J59" i="67"/>
  <c r="K59" i="67" s="1"/>
  <c r="O59" i="67" s="1"/>
  <c r="F61" i="120"/>
  <c r="J31" i="67"/>
  <c r="K31" i="67" s="1"/>
  <c r="O31" i="67" s="1"/>
  <c r="F33" i="120"/>
  <c r="J33" i="120" s="1"/>
  <c r="J61" i="67"/>
  <c r="K61" i="67" s="1"/>
  <c r="O61" i="67" s="1"/>
  <c r="F63" i="120"/>
  <c r="J63" i="120" s="1"/>
  <c r="J57" i="67"/>
  <c r="K57" i="67" s="1"/>
  <c r="O57" i="67" s="1"/>
  <c r="F59" i="120"/>
  <c r="J46" i="67"/>
  <c r="K46" i="67" s="1"/>
  <c r="O46" i="67" s="1"/>
  <c r="F48" i="120"/>
  <c r="J48" i="120" s="1"/>
  <c r="J21" i="67"/>
  <c r="K21" i="67" s="1"/>
  <c r="O21" i="67" s="1"/>
  <c r="F23" i="120"/>
  <c r="J15" i="67"/>
  <c r="K15" i="67" s="1"/>
  <c r="O15" i="67" s="1"/>
  <c r="F17" i="120"/>
  <c r="J54" i="67"/>
  <c r="K54" i="67" s="1"/>
  <c r="O54" i="67" s="1"/>
  <c r="F56" i="120"/>
  <c r="J56" i="120" s="1"/>
  <c r="J58" i="67"/>
  <c r="K58" i="67" s="1"/>
  <c r="O58" i="67" s="1"/>
  <c r="F60" i="120"/>
  <c r="J60" i="120" s="1"/>
  <c r="J19" i="67"/>
  <c r="K19" i="67" s="1"/>
  <c r="O19" i="67" s="1"/>
  <c r="F21" i="120"/>
  <c r="J21" i="120" s="1"/>
  <c r="J42" i="67"/>
  <c r="K42" i="67" s="1"/>
  <c r="O42" i="67" s="1"/>
  <c r="F44" i="120"/>
  <c r="J44" i="120" s="1"/>
  <c r="J52" i="67"/>
  <c r="K52" i="67" s="1"/>
  <c r="O52" i="67" s="1"/>
  <c r="F54" i="120"/>
  <c r="J20" i="67"/>
  <c r="K20" i="67" s="1"/>
  <c r="O20" i="67" s="1"/>
  <c r="F22" i="120"/>
  <c r="J60" i="67"/>
  <c r="K60" i="67" s="1"/>
  <c r="O60" i="67" s="1"/>
  <c r="F62" i="120"/>
  <c r="J25" i="67"/>
  <c r="K25" i="67" s="1"/>
  <c r="O25" i="67" s="1"/>
  <c r="F27" i="120"/>
  <c r="J18" i="67"/>
  <c r="K18" i="67" s="1"/>
  <c r="O18" i="67" s="1"/>
  <c r="F20" i="120"/>
  <c r="J35" i="67"/>
  <c r="K35" i="67" s="1"/>
  <c r="O35" i="67" s="1"/>
  <c r="F37" i="120"/>
  <c r="J13" i="67"/>
  <c r="K13" i="67" s="1"/>
  <c r="O13" i="67" s="1"/>
  <c r="F15" i="120"/>
  <c r="J15" i="120" s="1"/>
  <c r="J43" i="67"/>
  <c r="K43" i="67" s="1"/>
  <c r="O43" i="67" s="1"/>
  <c r="F45" i="120"/>
  <c r="J45" i="120" s="1"/>
  <c r="J33" i="67"/>
  <c r="K33" i="67" s="1"/>
  <c r="O33" i="67" s="1"/>
  <c r="F35" i="120"/>
  <c r="J35" i="120" s="1"/>
  <c r="J51" i="67"/>
  <c r="K51" i="67" s="1"/>
  <c r="O51" i="67" s="1"/>
  <c r="F53" i="120"/>
  <c r="J53" i="120" s="1"/>
  <c r="J22" i="67"/>
  <c r="K22" i="67" s="1"/>
  <c r="O22" i="67" s="1"/>
  <c r="F24" i="120"/>
  <c r="J24" i="120" s="1"/>
  <c r="J48" i="67"/>
  <c r="K48" i="67" s="1"/>
  <c r="O48" i="67" s="1"/>
  <c r="F50" i="120"/>
  <c r="J50" i="120" s="1"/>
  <c r="J17" i="67"/>
  <c r="K17" i="67" s="1"/>
  <c r="O17" i="67" s="1"/>
  <c r="F19" i="120"/>
  <c r="J19" i="120" s="1"/>
  <c r="J28" i="67"/>
  <c r="K28" i="67" s="1"/>
  <c r="O28" i="67" s="1"/>
  <c r="F30" i="120"/>
  <c r="J30" i="120" s="1"/>
  <c r="J9" i="67"/>
  <c r="K9" i="67" s="1"/>
  <c r="O9" i="67" s="1"/>
  <c r="F11" i="120"/>
  <c r="J11" i="120" s="1"/>
  <c r="J29" i="67"/>
  <c r="K29" i="67" s="1"/>
  <c r="O29" i="67" s="1"/>
  <c r="F31" i="120"/>
  <c r="J31" i="120" s="1"/>
  <c r="J12" i="67"/>
  <c r="K12" i="67" s="1"/>
  <c r="O12" i="67" s="1"/>
  <c r="F14" i="120"/>
  <c r="J14" i="120" s="1"/>
  <c r="J50" i="67"/>
  <c r="K50" i="67" s="1"/>
  <c r="O50" i="67" s="1"/>
  <c r="F52" i="120"/>
  <c r="J52" i="120" s="1"/>
  <c r="J39" i="67"/>
  <c r="K39" i="67" s="1"/>
  <c r="O39" i="67" s="1"/>
  <c r="F41" i="120"/>
  <c r="J41" i="120" s="1"/>
  <c r="J8" i="67"/>
  <c r="K8" i="67" s="1"/>
  <c r="O8" i="67" s="1"/>
  <c r="F10" i="120"/>
  <c r="J10" i="120" s="1"/>
  <c r="J38" i="67"/>
  <c r="K38" i="67" s="1"/>
  <c r="O38" i="67" s="1"/>
  <c r="F40" i="120"/>
  <c r="J40" i="120" s="1"/>
  <c r="J7" i="67"/>
  <c r="K7" i="67" s="1"/>
  <c r="O7" i="67" s="1"/>
  <c r="F9" i="120"/>
  <c r="J9" i="120" s="1"/>
  <c r="J47" i="67"/>
  <c r="K47" i="67" s="1"/>
  <c r="O47" i="67" s="1"/>
  <c r="F49" i="120"/>
  <c r="J49" i="120" s="1"/>
  <c r="J24" i="67"/>
  <c r="K24" i="67" s="1"/>
  <c r="O24" i="67" s="1"/>
  <c r="F26" i="120"/>
  <c r="J26" i="120" s="1"/>
  <c r="J6" i="67"/>
  <c r="K6" i="67" s="1"/>
  <c r="O6" i="67" s="1"/>
  <c r="F8" i="120"/>
  <c r="J8" i="120" s="1"/>
  <c r="J23" i="67"/>
  <c r="K23" i="67" s="1"/>
  <c r="O23" i="67" s="1"/>
  <c r="F25" i="120"/>
  <c r="J25" i="120" s="1"/>
  <c r="J11" i="67"/>
  <c r="K11" i="67" s="1"/>
  <c r="O11" i="67" s="1"/>
  <c r="F13" i="120"/>
  <c r="J13" i="120" s="1"/>
  <c r="J34" i="67"/>
  <c r="K34" i="67" s="1"/>
  <c r="O34" i="67" s="1"/>
  <c r="F36" i="120"/>
  <c r="J36" i="120" s="1"/>
  <c r="J26" i="67"/>
  <c r="K26" i="67" s="1"/>
  <c r="O26" i="67" s="1"/>
  <c r="F28" i="120"/>
  <c r="J28" i="120" s="1"/>
  <c r="J55" i="67"/>
  <c r="K55" i="67" s="1"/>
  <c r="O55" i="67" s="1"/>
  <c r="F57" i="120"/>
  <c r="J57" i="120" s="1"/>
  <c r="J53" i="67"/>
  <c r="K53" i="67" s="1"/>
  <c r="O53" i="67" s="1"/>
  <c r="F55" i="120"/>
  <c r="J55" i="120" s="1"/>
  <c r="J41" i="67"/>
  <c r="K41" i="67" s="1"/>
  <c r="O41" i="67" s="1"/>
  <c r="F43" i="120"/>
  <c r="J43" i="120" s="1"/>
  <c r="J16" i="67"/>
  <c r="K16" i="67" s="1"/>
  <c r="O16" i="67" s="1"/>
  <c r="F18" i="120"/>
  <c r="J18" i="120" s="1"/>
  <c r="J32" i="67"/>
  <c r="K32" i="67" s="1"/>
  <c r="O32" i="67" s="1"/>
  <c r="F34" i="120"/>
  <c r="J34" i="120" s="1"/>
  <c r="J10" i="67"/>
  <c r="K10" i="67" s="1"/>
  <c r="O10" i="67" s="1"/>
  <c r="F12" i="120"/>
  <c r="J12" i="120" s="1"/>
  <c r="AG53" i="109"/>
  <c r="AG16" i="109"/>
  <c r="AG57" i="109"/>
  <c r="AG46" i="109"/>
  <c r="AG20" i="109"/>
  <c r="AG55" i="109"/>
  <c r="AF22" i="119"/>
  <c r="AG43" i="109"/>
  <c r="AG41" i="109"/>
  <c r="AF41" i="119"/>
  <c r="AF20" i="119"/>
  <c r="AF46" i="119"/>
  <c r="AF28" i="119"/>
  <c r="AF45" i="119"/>
  <c r="AF60" i="119"/>
  <c r="AF32" i="119"/>
  <c r="AF62" i="119"/>
  <c r="AF58" i="119"/>
  <c r="AF59" i="119"/>
  <c r="AG19" i="109"/>
  <c r="AG47" i="109"/>
  <c r="AG63" i="109"/>
  <c r="AG50" i="109"/>
  <c r="AB65" i="119"/>
  <c r="J5" i="67"/>
  <c r="G64" i="129" l="1"/>
  <c r="J20" i="120"/>
  <c r="J59" i="120"/>
  <c r="J54" i="120"/>
  <c r="J62" i="120"/>
  <c r="J23" i="120"/>
  <c r="J51" i="120"/>
  <c r="J46" i="120"/>
  <c r="J16" i="120"/>
  <c r="J58" i="120"/>
  <c r="J61" i="120"/>
  <c r="J64" i="120"/>
  <c r="J17" i="120"/>
  <c r="J27" i="120"/>
  <c r="J22" i="120"/>
  <c r="J37" i="120"/>
  <c r="F65" i="120"/>
  <c r="J65" i="120" s="1"/>
  <c r="K5" i="67"/>
  <c r="J63" i="67"/>
  <c r="AF6" i="119"/>
  <c r="AF65" i="119" s="1"/>
  <c r="AG6" i="109"/>
  <c r="AG65" i="109" s="1"/>
  <c r="K63" i="67" l="1"/>
  <c r="O5" i="67"/>
  <c r="J7" i="120" l="1"/>
  <c r="C65" i="120"/>
  <c r="AI32" i="119" l="1"/>
  <c r="AI28" i="119"/>
  <c r="AI63" i="119"/>
  <c r="AI55" i="119"/>
  <c r="AI57" i="119"/>
  <c r="AI61" i="119"/>
  <c r="AI48" i="119"/>
  <c r="AI33" i="119"/>
  <c r="AI41" i="119"/>
  <c r="AI15" i="119"/>
  <c r="AI27" i="119"/>
  <c r="AI40" i="119"/>
  <c r="AI23" i="119"/>
  <c r="AI22" i="119"/>
  <c r="AI25" i="119"/>
  <c r="AI9" i="119"/>
  <c r="AI45" i="119"/>
  <c r="AI38" i="119"/>
  <c r="AI18" i="119"/>
  <c r="AI49" i="119"/>
  <c r="AI20" i="119"/>
  <c r="AI34" i="119"/>
  <c r="AI24" i="119"/>
  <c r="AI44" i="119"/>
  <c r="AI21" i="119"/>
  <c r="AI26" i="119"/>
  <c r="AI8" i="119"/>
  <c r="AI29" i="119"/>
  <c r="AI60" i="119"/>
  <c r="AI35" i="119"/>
  <c r="AI42" i="119"/>
  <c r="AI52" i="119"/>
  <c r="AI17" i="119"/>
  <c r="AI54" i="119"/>
  <c r="AI56" i="119"/>
  <c r="AI53" i="119"/>
  <c r="AI14" i="119"/>
  <c r="AI50" i="119"/>
  <c r="AI43" i="119"/>
  <c r="AI39" i="119"/>
  <c r="AI36" i="119"/>
  <c r="AI59" i="119"/>
  <c r="AI10" i="119"/>
  <c r="AI46" i="119"/>
  <c r="AI13" i="119"/>
  <c r="AI62" i="119"/>
  <c r="AI12" i="119"/>
  <c r="AI58" i="119"/>
  <c r="AI47" i="119"/>
  <c r="AI7" i="119"/>
  <c r="AI16" i="119"/>
  <c r="AI51" i="119"/>
  <c r="AI30" i="119"/>
  <c r="AI19" i="119"/>
  <c r="AI11" i="119"/>
  <c r="AI37" i="119"/>
  <c r="AI31" i="119"/>
  <c r="AI6" i="119" l="1"/>
  <c r="AI65" i="119" s="1"/>
  <c r="AL7" i="119" l="1"/>
  <c r="AL31" i="119"/>
  <c r="AL30" i="119"/>
  <c r="AL51" i="119"/>
  <c r="AL16" i="119"/>
  <c r="AL19" i="119"/>
  <c r="AL37" i="119"/>
  <c r="AL11" i="119"/>
  <c r="AL18" i="119"/>
  <c r="AL48" i="119"/>
  <c r="AL46" i="119"/>
  <c r="AL27" i="119"/>
  <c r="AL40" i="119"/>
  <c r="AL50" i="119"/>
  <c r="AL43" i="119"/>
  <c r="AL29" i="119"/>
  <c r="AL54" i="119"/>
  <c r="AL58" i="119"/>
  <c r="AL62" i="119"/>
  <c r="AL32" i="119"/>
  <c r="AL41" i="119"/>
  <c r="AL38" i="119"/>
  <c r="AL45" i="119"/>
  <c r="AL47" i="119"/>
  <c r="AL9" i="119"/>
  <c r="AL49" i="119"/>
  <c r="AL35" i="119"/>
  <c r="AL42" i="119"/>
  <c r="AL39" i="119"/>
  <c r="AL28" i="119"/>
  <c r="AL61" i="119"/>
  <c r="AL57" i="119"/>
  <c r="AL59" i="119"/>
  <c r="AL21" i="119"/>
  <c r="AL20" i="119"/>
  <c r="AL60" i="119"/>
  <c r="AL34" i="119"/>
  <c r="AL25" i="119"/>
  <c r="AL63" i="119"/>
  <c r="AL22" i="119"/>
  <c r="AL55" i="119"/>
  <c r="AL8" i="119"/>
  <c r="AL24" i="119"/>
  <c r="AL52" i="119"/>
  <c r="AL14" i="119"/>
  <c r="AL44" i="119"/>
  <c r="AL33" i="119"/>
  <c r="AL56" i="119"/>
  <c r="AL36" i="119"/>
  <c r="AL12" i="119"/>
  <c r="AL53" i="119"/>
  <c r="AL23" i="119"/>
  <c r="AL26" i="119"/>
  <c r="AL10" i="119"/>
  <c r="AL15" i="119"/>
  <c r="AL17" i="119"/>
  <c r="AL13" i="119"/>
  <c r="AL6" i="119" l="1"/>
  <c r="AL65" i="119" s="1"/>
  <c r="AO30" i="119" l="1"/>
  <c r="AO51" i="119"/>
  <c r="AO7" i="119"/>
  <c r="AO37" i="119"/>
  <c r="AO16" i="119"/>
  <c r="AO19" i="119"/>
  <c r="AO11" i="119"/>
  <c r="AO52" i="119"/>
  <c r="AO45" i="119"/>
  <c r="AO63" i="119"/>
  <c r="AO33" i="119"/>
  <c r="AO46" i="119"/>
  <c r="AO25" i="119"/>
  <c r="AO34" i="119"/>
  <c r="AO24" i="119"/>
  <c r="AO28" i="119"/>
  <c r="AO39" i="119"/>
  <c r="AO12" i="119"/>
  <c r="AO38" i="119"/>
  <c r="AO9" i="119"/>
  <c r="AO49" i="119"/>
  <c r="AO44" i="119"/>
  <c r="AO31" i="119"/>
  <c r="AO29" i="119"/>
  <c r="AO35" i="119"/>
  <c r="AO55" i="119"/>
  <c r="AO21" i="119"/>
  <c r="AO42" i="119"/>
  <c r="AO60" i="119"/>
  <c r="AO57" i="119"/>
  <c r="AO62" i="119"/>
  <c r="AO22" i="119"/>
  <c r="AO13" i="119"/>
  <c r="AO15" i="119"/>
  <c r="AO56" i="119"/>
  <c r="AO59" i="119"/>
  <c r="AO26" i="119"/>
  <c r="AO20" i="119"/>
  <c r="AO10" i="119"/>
  <c r="AO41" i="119"/>
  <c r="AO18" i="119"/>
  <c r="AO53" i="119"/>
  <c r="AO50" i="119"/>
  <c r="AO40" i="119"/>
  <c r="AO8" i="119"/>
  <c r="AO47" i="119"/>
  <c r="AO23" i="119"/>
  <c r="AO61" i="119"/>
  <c r="AO14" i="119"/>
  <c r="AO58" i="119"/>
  <c r="AO43" i="119"/>
  <c r="AO54" i="119"/>
  <c r="AO36" i="119"/>
  <c r="AO32" i="119"/>
  <c r="AO27" i="119"/>
  <c r="AO48" i="119"/>
  <c r="AO17" i="119"/>
  <c r="AO6" i="119" l="1"/>
  <c r="AO65" i="119" s="1"/>
</calcChain>
</file>

<file path=xl/comments1.xml><?xml version="1.0" encoding="utf-8"?>
<comments xmlns="http://schemas.openxmlformats.org/spreadsheetml/2006/main">
  <authors>
    <author>Blihovde, Suzanne</author>
  </authors>
  <commentList>
    <comment ref="B3" authorId="0" shapeId="0">
      <text>
        <r>
          <rPr>
            <b/>
            <sz val="9"/>
            <color indexed="81"/>
            <rFont val="Tahoma"/>
            <family val="2"/>
          </rPr>
          <t>Blihovde, Suzanne:</t>
        </r>
        <r>
          <rPr>
            <sz val="9"/>
            <color indexed="81"/>
            <rFont val="Tahoma"/>
            <family val="2"/>
          </rPr>
          <t xml:space="preserve">
For 16-17, base is from 16-17 base alloc, based on 
15-16 base alloc tab - Col 6 + col 8
plus Non-sherriff Security Non-BCP funding + Non-sheriff Security BCP funding</t>
        </r>
      </text>
    </comment>
    <comment ref="C3" authorId="0" shapeId="0">
      <text>
        <r>
          <rPr>
            <b/>
            <sz val="9"/>
            <color indexed="81"/>
            <rFont val="Tahoma"/>
            <family val="2"/>
          </rPr>
          <t>Blihovde, Suzanne:</t>
        </r>
        <r>
          <rPr>
            <sz val="9"/>
            <color indexed="81"/>
            <rFont val="Tahoma"/>
            <family val="2"/>
          </rPr>
          <t xml:space="preserve">
From FY 16-17 Alloc - realloc, Column Z</t>
        </r>
      </text>
    </comment>
    <comment ref="D3" authorId="0" shapeId="0">
      <text>
        <r>
          <rPr>
            <b/>
            <sz val="9"/>
            <color indexed="81"/>
            <rFont val="Tahoma"/>
            <family val="2"/>
          </rPr>
          <t>Blihovde, Suzanne:</t>
        </r>
        <r>
          <rPr>
            <sz val="9"/>
            <color indexed="81"/>
            <rFont val="Tahoma"/>
            <family val="2"/>
          </rPr>
          <t xml:space="preserve">
From FY 16-17 Alloc - realloc, Column AB</t>
        </r>
      </text>
    </comment>
    <comment ref="E3" authorId="0" shapeId="0">
      <text>
        <r>
          <rPr>
            <b/>
            <sz val="9"/>
            <color indexed="81"/>
            <rFont val="Tahoma"/>
            <family val="2"/>
          </rPr>
          <t>Blihovde, Suzanne:</t>
        </r>
        <r>
          <rPr>
            <sz val="9"/>
            <color indexed="81"/>
            <rFont val="Tahoma"/>
            <family val="2"/>
          </rPr>
          <t xml:space="preserve">
From FY 16-17 WAFM Alloc
Col. J</t>
        </r>
      </text>
    </comment>
    <comment ref="G3" authorId="0" shapeId="0">
      <text>
        <r>
          <rPr>
            <b/>
            <sz val="9"/>
            <color indexed="81"/>
            <rFont val="Tahoma"/>
            <family val="2"/>
          </rPr>
          <t>Blihovde, Suzanne:</t>
        </r>
        <r>
          <rPr>
            <sz val="9"/>
            <color indexed="81"/>
            <rFont val="Tahoma"/>
            <family val="2"/>
          </rPr>
          <t xml:space="preserve">
Col 5 + 8 need to tie to SJO Conversion from 17-18 WAFM alloc.  </t>
        </r>
      </text>
    </comment>
    <comment ref="I3" authorId="0" shapeId="0">
      <text>
        <r>
          <rPr>
            <b/>
            <sz val="9"/>
            <color indexed="81"/>
            <rFont val="Tahoma"/>
            <family val="2"/>
          </rPr>
          <t>Blihovde, Suzanne:</t>
        </r>
        <r>
          <rPr>
            <sz val="9"/>
            <color indexed="81"/>
            <rFont val="Tahoma"/>
            <family val="2"/>
          </rPr>
          <t xml:space="preserve">
Same number used in FY 15-16 Base Alloc tab 
</t>
        </r>
      </text>
    </comment>
  </commentList>
</comments>
</file>

<file path=xl/comments2.xml><?xml version="1.0" encoding="utf-8"?>
<comments xmlns="http://schemas.openxmlformats.org/spreadsheetml/2006/main">
  <authors>
    <author>Leah Rose-Goodwin: AOC</author>
  </authors>
  <commentList>
    <comment ref="D11" authorId="0" shapeId="0">
      <text>
        <r>
          <rPr>
            <b/>
            <sz val="9"/>
            <color indexed="81"/>
            <rFont val="Tahoma"/>
            <family val="2"/>
          </rPr>
          <t>Leah Rose-Goodwin: AOC:</t>
        </r>
        <r>
          <rPr>
            <sz val="9"/>
            <color indexed="81"/>
            <rFont val="Tahoma"/>
            <family val="2"/>
          </rPr>
          <t xml:space="preserve">
Updated 1-23-14
</t>
        </r>
      </text>
    </comment>
  </commentList>
</comments>
</file>

<file path=xl/comments3.xml><?xml version="1.0" encoding="utf-8"?>
<comments xmlns="http://schemas.openxmlformats.org/spreadsheetml/2006/main">
  <authors>
    <author>Leah Rose-Goodwin: AOC</author>
  </authors>
  <commentList>
    <comment ref="H4" authorId="0" shapeId="0">
      <text>
        <r>
          <rPr>
            <b/>
            <sz val="9"/>
            <color indexed="81"/>
            <rFont val="Tahoma"/>
            <family val="2"/>
          </rPr>
          <t>Leah Rose-Goodwin: AOC:</t>
        </r>
        <r>
          <rPr>
            <sz val="9"/>
            <color indexed="81"/>
            <rFont val="Tahoma"/>
            <family val="2"/>
          </rPr>
          <t xml:space="preserve">
From CEO SJO Salary Table.xls (OCR)</t>
        </r>
      </text>
    </comment>
  </commentList>
</comments>
</file>

<file path=xl/sharedStrings.xml><?xml version="1.0" encoding="utf-8"?>
<sst xmlns="http://schemas.openxmlformats.org/spreadsheetml/2006/main" count="2083" uniqueCount="673">
  <si>
    <t>Total</t>
  </si>
  <si>
    <t>B</t>
  </si>
  <si>
    <t>D</t>
  </si>
  <si>
    <t>E</t>
  </si>
  <si>
    <t>Alpine</t>
  </si>
  <si>
    <t>Amador</t>
  </si>
  <si>
    <t>Calaveras</t>
  </si>
  <si>
    <t>Colusa</t>
  </si>
  <si>
    <t>Del Norte</t>
  </si>
  <si>
    <t>Glenn</t>
  </si>
  <si>
    <t>Inyo</t>
  </si>
  <si>
    <t>Lassen</t>
  </si>
  <si>
    <t>Mariposa</t>
  </si>
  <si>
    <t>Modoc</t>
  </si>
  <si>
    <t>Mono</t>
  </si>
  <si>
    <t>Plumas</t>
  </si>
  <si>
    <t>San Benito</t>
  </si>
  <si>
    <t>Sierra</t>
  </si>
  <si>
    <t>Trinity</t>
  </si>
  <si>
    <t>Butte</t>
  </si>
  <si>
    <t>El Dorado</t>
  </si>
  <si>
    <t>Humboldt</t>
  </si>
  <si>
    <t>Imperial</t>
  </si>
  <si>
    <t>Kings</t>
  </si>
  <si>
    <t>Lake</t>
  </si>
  <si>
    <t>Madera</t>
  </si>
  <si>
    <t>Marin</t>
  </si>
  <si>
    <t>Mendocino</t>
  </si>
  <si>
    <t>Merced</t>
  </si>
  <si>
    <t>Napa</t>
  </si>
  <si>
    <t>Nevada</t>
  </si>
  <si>
    <t>Placer</t>
  </si>
  <si>
    <t>San Luis Obispo</t>
  </si>
  <si>
    <t>Santa Cruz</t>
  </si>
  <si>
    <t>Shasta</t>
  </si>
  <si>
    <t>Siskiyou</t>
  </si>
  <si>
    <t>Sutter</t>
  </si>
  <si>
    <t>Tehama</t>
  </si>
  <si>
    <t>Tuolumne</t>
  </si>
  <si>
    <t>Yolo</t>
  </si>
  <si>
    <t>Yuba</t>
  </si>
  <si>
    <t>Contra Costa</t>
  </si>
  <si>
    <t>Fresno</t>
  </si>
  <si>
    <t>Kern</t>
  </si>
  <si>
    <t>Monterey</t>
  </si>
  <si>
    <t>San Joaquin</t>
  </si>
  <si>
    <t>San Mateo</t>
  </si>
  <si>
    <t>Santa Barbara</t>
  </si>
  <si>
    <t>Solano</t>
  </si>
  <si>
    <t>Sonoma</t>
  </si>
  <si>
    <t>Stanislaus</t>
  </si>
  <si>
    <t>Tulare</t>
  </si>
  <si>
    <t>Ventura</t>
  </si>
  <si>
    <t>Alameda</t>
  </si>
  <si>
    <t>Los Angeles</t>
  </si>
  <si>
    <t>Orange</t>
  </si>
  <si>
    <t>Riverside</t>
  </si>
  <si>
    <t>Sacramento</t>
  </si>
  <si>
    <t>San Bernardino</t>
  </si>
  <si>
    <t>San Diego</t>
  </si>
  <si>
    <t>San Francisco</t>
  </si>
  <si>
    <t>Santa Clara</t>
  </si>
  <si>
    <t>Statewide</t>
  </si>
  <si>
    <t>Court</t>
  </si>
  <si>
    <t>Security Base (FY 10-11) Adjustment</t>
  </si>
  <si>
    <t>Self-Help</t>
  </si>
  <si>
    <t>Replacement of 2% Automation</t>
  </si>
  <si>
    <t>R</t>
  </si>
  <si>
    <t>A</t>
  </si>
  <si>
    <t>C</t>
  </si>
  <si>
    <t>G</t>
  </si>
  <si>
    <t>Cluster 1</t>
  </si>
  <si>
    <t>Cluster</t>
  </si>
  <si>
    <t>O</t>
  </si>
  <si>
    <t>Pre-Benefits Adjusted Base</t>
  </si>
  <si>
    <r>
      <t>SJO Adjustment</t>
    </r>
    <r>
      <rPr>
        <b/>
        <vertAlign val="superscript"/>
        <sz val="10"/>
        <color theme="1"/>
        <rFont val="Times New Roman"/>
        <family val="1"/>
      </rPr>
      <t>1</t>
    </r>
    <r>
      <rPr>
        <b/>
        <sz val="10"/>
        <color theme="1"/>
        <rFont val="Times New Roman"/>
        <family val="1"/>
      </rPr>
      <t xml:space="preserve"> </t>
    </r>
  </si>
  <si>
    <t>Reallocation Using WAFM Proportion</t>
  </si>
  <si>
    <t>1.  Does not include compensation for AB 1058 commissioners.</t>
  </si>
  <si>
    <t>[e]</t>
  </si>
  <si>
    <t>[d]</t>
  </si>
  <si>
    <t>[c]</t>
  </si>
  <si>
    <t>[b]</t>
  </si>
  <si>
    <t>[a]</t>
  </si>
  <si>
    <t>County</t>
  </si>
  <si>
    <t>TCBAC: WAFM Subcommittee: Small Court Review</t>
  </si>
  <si>
    <t>Identifying a Funding "Floor"</t>
  </si>
  <si>
    <t>Calculate the Personnel Base for the "Floor"</t>
  </si>
  <si>
    <t>Position Needed</t>
  </si>
  <si>
    <t>"FTE" Count</t>
  </si>
  <si>
    <t>Program 10 or 90?</t>
  </si>
  <si>
    <t>Base FTE $$ Value</t>
  </si>
  <si>
    <t>Salary Driven Benefit</t>
  </si>
  <si>
    <t>Non Salary Driven Benefit</t>
  </si>
  <si>
    <t>TOTAL Allotment for 'FTE'</t>
  </si>
  <si>
    <t>[f]=[c]+[d]+[e]</t>
  </si>
  <si>
    <t>Court Executive Officer</t>
  </si>
  <si>
    <t>Processing Clerk [1]</t>
  </si>
  <si>
    <t>Administrative Support (HR/Fiscal)</t>
  </si>
  <si>
    <t>Courtroom Clerk</t>
  </si>
  <si>
    <t>Court Reporter</t>
  </si>
  <si>
    <t>TOTAL PERSONNEL FLOOR</t>
  </si>
  <si>
    <t>OE&amp;E per FTE [2]</t>
  </si>
  <si>
    <t>Total OE&amp;E [3]=[2]*[a]</t>
  </si>
  <si>
    <t>----</t>
  </si>
  <si>
    <t>TOTAL FLOOR NEED</t>
  </si>
  <si>
    <t>Round To (Manual Entry)</t>
  </si>
  <si>
    <t>OE&amp;E Validation:</t>
  </si>
  <si>
    <t>Five Cluster 1 courts volunteered to review detailed actual operating expenses in an effort to identify those costs that reflected the cost of "opening" business.  This analysis focused on identifying costs that must exist regardless of workload.  Their results found that:</t>
  </si>
  <si>
    <t>OE&amp;E "Minimum Needed", Based on Detailed Review of Small Court</t>
  </si>
  <si>
    <t>Notes:</t>
  </si>
  <si>
    <r>
      <t xml:space="preserve">[a] Establishes FTE based on practical need </t>
    </r>
    <r>
      <rPr>
        <b/>
        <sz val="11"/>
        <color theme="1"/>
        <rFont val="Calibri"/>
        <family val="2"/>
        <scheme val="minor"/>
      </rPr>
      <t>not based on filings.</t>
    </r>
  </si>
  <si>
    <t>[b] Designation of "operations", Program 10, or "administration", Program 90.</t>
  </si>
  <si>
    <t>[c] Value is based on 1) CEO = median CEO salary for all Cluster 1 courts and 2) median post BLS adjusted FTE allotment per WAFM for all courts with fewer than 50 FTE 'need.'</t>
  </si>
  <si>
    <r>
      <t xml:space="preserve">[d] and [e] Based on the </t>
    </r>
    <r>
      <rPr>
        <b/>
        <sz val="11"/>
        <color theme="1"/>
        <rFont val="Calibri"/>
        <family val="2"/>
        <scheme val="minor"/>
      </rPr>
      <t>median</t>
    </r>
    <r>
      <rPr>
        <sz val="11"/>
        <color theme="1"/>
        <rFont val="Calibri"/>
        <family val="2"/>
        <scheme val="minor"/>
      </rPr>
      <t xml:space="preserve"> salary and non-salary driven benefits for the five courts that participated in the analysis.</t>
    </r>
  </si>
  <si>
    <t>[f] sum of [c], [d], and [e].</t>
  </si>
  <si>
    <t>[1]  Includes all leave coverage for processing staff and courtroom clerk.  Likely breakdown:  0.75 criminal, 0.75 civil/family, 1.0 traffic, 0.5 coverage.</t>
  </si>
  <si>
    <t>[2] WAFM existing formula provides $27,928 per "need" FTE for OE&amp;E (compared to $20,287 for Cluster 2-4).  Group compared this outcome to existing OE&amp;E cost in very small court, returning nearly identical OE&amp;E costs.</t>
  </si>
  <si>
    <t>[3] =[2] * [a]</t>
  </si>
  <si>
    <t>Setting a Variable Floor</t>
  </si>
  <si>
    <t>Calculate Variable Funding Floor</t>
  </si>
  <si>
    <t>WAFM Calculated Need</t>
  </si>
  <si>
    <t>Minimum Floor Factor</t>
  </si>
  <si>
    <t>Floor "Share" of Need</t>
  </si>
  <si>
    <t>WAFM Need</t>
  </si>
  <si>
    <t>Floor Supplement</t>
  </si>
  <si>
    <t>Final Variable Funding Floor</t>
  </si>
  <si>
    <t xml:space="preserve">Need of equal to or less than </t>
  </si>
  <si>
    <t>Need of greater than or equal to</t>
  </si>
  <si>
    <t>Graduated Funding Floor That Would Apply</t>
  </si>
  <si>
    <t>F2</t>
  </si>
  <si>
    <t>Share of Total Funding Subject to Reallocation Using WAFM (Historical funding proportion)</t>
  </si>
  <si>
    <t>(Historical) Funding Subject to Reallocation</t>
  </si>
  <si>
    <t>M</t>
  </si>
  <si>
    <t xml:space="preserve">B  </t>
  </si>
  <si>
    <t>FTE Allotment Factor</t>
  </si>
  <si>
    <t>Current adjusted allocation if no floor applied</t>
  </si>
  <si>
    <t>Smaller of Floor vs. PY plus 10%</t>
  </si>
  <si>
    <t>Larger of Actual Cap vs. CY</t>
  </si>
  <si>
    <t>Salaries and FTEs exclude those related to non-court-operations PECTs, SJOs, CEOs, marshals, court attendants, interpreters and interpreter coordinators, and vacant positions</t>
  </si>
  <si>
    <t>Average of Courts' Average RAS-Related Salaries</t>
  </si>
  <si>
    <t>Median</t>
  </si>
  <si>
    <t>Share of reduction</t>
  </si>
  <si>
    <t>F</t>
  </si>
  <si>
    <t>H</t>
  </si>
  <si>
    <t>I</t>
  </si>
  <si>
    <t>J</t>
  </si>
  <si>
    <t>K</t>
  </si>
  <si>
    <t>L</t>
  </si>
  <si>
    <t>N</t>
  </si>
  <si>
    <t>Determination of Funding Floor</t>
  </si>
  <si>
    <t>Allocation Reduction Base</t>
  </si>
  <si>
    <t>Reduction Allocation</t>
  </si>
  <si>
    <t>Floor Funding</t>
  </si>
  <si>
    <t>Adjusted allocation if no floor applied</t>
  </si>
  <si>
    <t>Funding Floor (for the graduated floor, the lower of the floor or prior-year allocation plus 10%)</t>
  </si>
  <si>
    <t>Determine Adjusted Allocation if Floor Applies</t>
  </si>
  <si>
    <t>% of Statewide Need</t>
  </si>
  <si>
    <t>P</t>
  </si>
  <si>
    <t>Q</t>
  </si>
  <si>
    <t>Allocation of New Money</t>
  </si>
  <si>
    <t>Net</t>
  </si>
  <si>
    <t>F1</t>
  </si>
  <si>
    <t>F3</t>
  </si>
  <si>
    <t>Floor Allocation Adjustment</t>
  </si>
  <si>
    <t>Prior Year Plus 10%</t>
  </si>
  <si>
    <t>Apply Floor? Yes, if F&gt;E</t>
  </si>
  <si>
    <t>Estimated Adjustment in 2017-18 Related to Reallocation of 50% of Historical Base</t>
  </si>
  <si>
    <t>S</t>
  </si>
  <si>
    <t>Estimated Funding Floor Adjustment in 2017-18</t>
  </si>
  <si>
    <t>T</t>
  </si>
  <si>
    <t>U</t>
  </si>
  <si>
    <t>Estimated FY 2016-2017 WAFM-Related Base Allocation</t>
  </si>
  <si>
    <t>WAFM 16-17 Adjustment</t>
  </si>
  <si>
    <t>WAFM 16-17 Funding Floor Adjustment</t>
  </si>
  <si>
    <t>Total 2016-17 WAFM-Related Allocation (Prior to implementing funding floor)</t>
  </si>
  <si>
    <t>Total 2016-17 WAFM-Related Allocation</t>
  </si>
  <si>
    <t>FY 2016-2017 Allocation Adjustment Related to Funding Floor</t>
  </si>
  <si>
    <t>Total WAFM-Related Allocation for 2016-17 (Prior to implementing funding floor)</t>
  </si>
  <si>
    <t>Share of Total WAFM Funding Need (FY 15-16)</t>
  </si>
  <si>
    <t>Total Salaries</t>
  </si>
  <si>
    <t>Total Filled FTEs</t>
  </si>
  <si>
    <t>Average Salary for RAS-Related FTEs</t>
  </si>
  <si>
    <t>V</t>
  </si>
  <si>
    <t>Change in WAFM Funding Need (RAS Update)</t>
  </si>
  <si>
    <t>% Change in WAFM Funding Need (RAS Update)</t>
  </si>
  <si>
    <t>Change in WAFM Funding Need (Salary Update)</t>
  </si>
  <si>
    <t>% Change in WAFM Funding Need (Salary Update)</t>
  </si>
  <si>
    <t>Change in WAFM Funding Need (BLS Update)</t>
  </si>
  <si>
    <t>% Change in WAFM Funding Need (BLS Update)</t>
  </si>
  <si>
    <t>Change in WAFM Funding Need (Benefits Update)</t>
  </si>
  <si>
    <t>% Change in WAFM Funding Need (Benefits Update)</t>
  </si>
  <si>
    <t>Change in Pre-Benefits Adjusted Base (RAS Update)</t>
  </si>
  <si>
    <t>% Change in Pre-Benefits Adjusted Base (RAS Update)</t>
  </si>
  <si>
    <t>Change in Total Benefit Need (RAS Update)</t>
  </si>
  <si>
    <t>% Change in Total Benefit Need (RAS Update)</t>
  </si>
  <si>
    <t>Change in Estimated OE&amp;E Needed (RAS Update)</t>
  </si>
  <si>
    <t>% Change in Estimated OE&amp;E Needed (RAS Update)</t>
  </si>
  <si>
    <t>Change in Pre-Benefits Adjusted Base (Salary Update)</t>
  </si>
  <si>
    <t>% Change in Pre-Benefits Adjusted Base (Salary Update)</t>
  </si>
  <si>
    <t>Change in Total Benefit Need (Salary Update)</t>
  </si>
  <si>
    <t>% Change in Total Benefit Need (Salary Update)</t>
  </si>
  <si>
    <t>Change in Pre-Benefits Adjusted Base (BLS Update)</t>
  </si>
  <si>
    <t>% Change in Pre-Benefits Adjusted Base (BLS Update)</t>
  </si>
  <si>
    <t>Change in Total Benefit Need (BLS Update)</t>
  </si>
  <si>
    <t>% Change in Total Benefit Need (BLS Update)</t>
  </si>
  <si>
    <t>Change in Total Benefit Need (Benefits Update)</t>
  </si>
  <si>
    <t>% Change in Total Benefit Need (Benefits Update)</t>
  </si>
  <si>
    <t xml:space="preserve">Total Changes in Pre-Benefits Adjusted Base </t>
  </si>
  <si>
    <t>% Change in Pre-Benefits Adjusted Base</t>
  </si>
  <si>
    <t xml:space="preserve">Total Changes in Total Benefit Need </t>
  </si>
  <si>
    <t>% Change in Total Benefit Need</t>
  </si>
  <si>
    <t>AB 1058 Adjustment</t>
  </si>
  <si>
    <t>Change in % of  Statewide WAFM Funding Need</t>
  </si>
  <si>
    <t>W</t>
  </si>
  <si>
    <t>X</t>
  </si>
  <si>
    <t>Reallocation Ratio</t>
  </si>
  <si>
    <t>2015-16 Ending TCTF and GF Base</t>
  </si>
  <si>
    <t>Change in WAFM Funding Need</t>
  </si>
  <si>
    <t>Change in RAS FTE Need</t>
  </si>
  <si>
    <t>D = C / B</t>
  </si>
  <si>
    <t>Total Benefit Need</t>
  </si>
  <si>
    <t xml:space="preserve">Total Changes in OE&amp;E Need </t>
  </si>
  <si>
    <t>Total OE&amp;E Need</t>
  </si>
  <si>
    <t>% Change in OE&amp;E Need</t>
  </si>
  <si>
    <t>Total Benefit Need (BLS Update)</t>
  </si>
  <si>
    <t>Total Benefit Need (Salary Update)</t>
  </si>
  <si>
    <t>Total Benefit Need (Benefits Update)</t>
  </si>
  <si>
    <t>Pre-Benefits Adjusted Base (BLS Update)</t>
  </si>
  <si>
    <t>Pre-Benefits Adjusted Base (Salary Update)</t>
  </si>
  <si>
    <t>Total Benefit Need (RAS Update)</t>
  </si>
  <si>
    <t>Pre-Benefits Adjusted Base (RAS Update)</t>
  </si>
  <si>
    <t>Estimated OE&amp;E Needed (RAS Update)</t>
  </si>
  <si>
    <t>Total WAFM Funding Need (Benefits Update)</t>
  </si>
  <si>
    <t>Total WAFM Funding Need (BLS Update)</t>
  </si>
  <si>
    <t>Total WAFM Funding Need (Salary Update)</t>
  </si>
  <si>
    <t>Total WAFM Funding Need (RAS Update)</t>
  </si>
  <si>
    <t>WAFM Funding Need</t>
  </si>
  <si>
    <t>% of  Statewide WAFM Funding Need</t>
  </si>
  <si>
    <t>G = E + F</t>
  </si>
  <si>
    <t>J = H + I</t>
  </si>
  <si>
    <t>M =  K + L</t>
  </si>
  <si>
    <t>Y</t>
  </si>
  <si>
    <t>Cluster 2</t>
  </si>
  <si>
    <t>Cluster 3</t>
  </si>
  <si>
    <t>Cluster 4</t>
  </si>
  <si>
    <t>RAS FTE Need</t>
  </si>
  <si>
    <t>% of Statewide RAS FTE Need</t>
  </si>
  <si>
    <t>% Change in RAS FTE Need</t>
  </si>
  <si>
    <t>% Change in % of Statewide RAS FTE Need</t>
  </si>
  <si>
    <t>Change in Average % of Salary-Driven Benefits (Program 10)</t>
  </si>
  <si>
    <t>Average % and $ per FTE for Salary-Driven and Non-Salary-Driven Benefits</t>
  </si>
  <si>
    <t>Total WAFM Funding Need Changes by Variable Updated</t>
  </si>
  <si>
    <t>WAFM Funding Need Category Changes Ordered by Variable Updated</t>
  </si>
  <si>
    <t>Pre-Benefits Adjusted Base Funding Need Changes by Variable Updated</t>
  </si>
  <si>
    <t>Total Benefits Funding Need Changes by Variable Updated</t>
  </si>
  <si>
    <t>Total OE&amp;E Funding Need Changes by Variable Updated</t>
  </si>
  <si>
    <t>Court % Changes in WAFM Funding Need by Cluster</t>
  </si>
  <si>
    <t>Court % Changes in Relative WAFM Funding Need by Cluster</t>
  </si>
  <si>
    <t>Decrease in Need of &lt;-5%</t>
  </si>
  <si>
    <t>Increase in Need of  &gt;5%</t>
  </si>
  <si>
    <t>Court % Changes in RAS FTE Need by Cluster</t>
  </si>
  <si>
    <t>Court % Changes in Relative RAS FTE Need by Cluster</t>
  </si>
  <si>
    <t>Relative decrease of &lt;-5%</t>
  </si>
  <si>
    <t>Relative increase of  &gt;5%</t>
  </si>
  <si>
    <t>Need change within +/-5%</t>
  </si>
  <si>
    <t>Relative change within +/- 5%</t>
  </si>
  <si>
    <t>% Change in WAFM Funding Need</t>
  </si>
  <si>
    <t>% of Statewide FTE Allotment Factor</t>
  </si>
  <si>
    <t>Change in FTE Allotment Factor</t>
  </si>
  <si>
    <t>% Change in FTE Allotment Factor</t>
  </si>
  <si>
    <t>% Change in % of Statewide FTE Allotment Factor</t>
  </si>
  <si>
    <t>Qualifies for FTE Floor Adjustment?</t>
  </si>
  <si>
    <t/>
  </si>
  <si>
    <t>Yes</t>
  </si>
  <si>
    <t>Range of % Changes in WAFM Funding Need by Cluster</t>
  </si>
  <si>
    <t>High</t>
  </si>
  <si>
    <t>Low</t>
  </si>
  <si>
    <t>Range of % Changes in Relative WAFM Funding Need by Cluster</t>
  </si>
  <si>
    <t>Range of % Changes in Relative RAS FTE Need by Cluster</t>
  </si>
  <si>
    <t>Range of % Changes in RAS FTE Need by Cluster</t>
  </si>
  <si>
    <t>Average WAFM Related Salary (7A)</t>
  </si>
  <si>
    <t>Salary Base Using 7A Average WAFM Salary (excludes CEOs)</t>
  </si>
  <si>
    <t>Salary Base Using Adjusted FTE Allotment Factor (excludes CEOs)</t>
  </si>
  <si>
    <t>Funding Floor Adjustment</t>
  </si>
  <si>
    <t>Eligible for FTE Floor?</t>
  </si>
  <si>
    <t>Floor Eligible?</t>
  </si>
  <si>
    <t>Salary Base Variance from 7A Average Salary (excludes CEOs)</t>
  </si>
  <si>
    <t>Salary Base Decreases versus 7A Average Salary  (excludes CEOs)</t>
  </si>
  <si>
    <t>Salary Base Increases versus 7A Average Salary (excludes CEOs)</t>
  </si>
  <si>
    <t>Decreased Base</t>
  </si>
  <si>
    <t>Increased Base</t>
  </si>
  <si>
    <t>Changes in Calculated Salary Base versus Court's 7A Average Salary by Cluster</t>
  </si>
  <si>
    <t>All Courts</t>
  </si>
  <si>
    <t>Decreased Base Only</t>
  </si>
  <si>
    <t>Increased Base Only</t>
  </si>
  <si>
    <t>FTE Allotment Factor (includes FTE Floor Adjustment)</t>
  </si>
  <si>
    <t>Court FTE Salary Increase/(Decrease) versus Court's 7A Average Salary by Cluster</t>
  </si>
  <si>
    <t>Salary Variance per FTE from 7A Average Salary</t>
  </si>
  <si>
    <t>FTE Allotment Factor versus Court 7A Average Salary Comparison</t>
  </si>
  <si>
    <t>Average Non-Salary-Driven Benefits per FTE (Prog. 10)</t>
  </si>
  <si>
    <t>Average % of Salary-Driven Benefits (Prog. 10)</t>
  </si>
  <si>
    <t>Average % of Salary-Driven Benefits (Prog. 90)</t>
  </si>
  <si>
    <t>Average Non-Salary-Driven Benefits per FTE (Prog. 90)</t>
  </si>
  <si>
    <t>Change in Average Non-Salary-Driven Benefits per FTE (Prog. 10)</t>
  </si>
  <si>
    <t>Change in Average % of Salary-Driven Benefits (Prog. 90)</t>
  </si>
  <si>
    <t>Change in Average Non-Salary-Driven Benefits per FTE (Prog. 90)</t>
  </si>
  <si>
    <t>Weighted FTE Allotment Factor (includes FTE Floor Adjustment)</t>
  </si>
  <si>
    <t>Court % Changes in Program 10 Salary-Driven Benefits by Cluster</t>
  </si>
  <si>
    <t>Range of % Changes in Program 10 Salary-Driven Benefits by Cluster</t>
  </si>
  <si>
    <t>Decrease in Benefits of &lt;-10%</t>
  </si>
  <si>
    <t>Benefits change within +/-10%</t>
  </si>
  <si>
    <t>Increase in Benefits of  &gt;10%</t>
  </si>
  <si>
    <t>Court % Changes in Program 10 Non-Salary-Driven Benefits by Cluster</t>
  </si>
  <si>
    <t>Range of % Changes in Program 10 Non-Salary-Driven Benefits by Cluster</t>
  </si>
  <si>
    <t>14-15 Average WAFM Related Salary (7A)</t>
  </si>
  <si>
    <t>Change in Average 7A Salary</t>
  </si>
  <si>
    <t>% Change in Average 7A Salary</t>
  </si>
  <si>
    <t>% Salary Variance per FTE from 7A Average Salary</t>
  </si>
  <si>
    <t>Court % Changes in % of Statewide FTE Allotment Factor by Cluster</t>
  </si>
  <si>
    <t>% of statewide change within +/-5%</t>
  </si>
  <si>
    <t>Decrease in % of statewide of &lt;-5%</t>
  </si>
  <si>
    <t>Increase in % of statewide of  &gt;5%</t>
  </si>
  <si>
    <t>Range of % Changes in % of Statewide FTE Allotment Factor by Cluster</t>
  </si>
  <si>
    <t>4-Year Average 7A Allotment Factor</t>
  </si>
  <si>
    <t>Salary Base Using 7A Allotment Factor (excludes CEOs)</t>
  </si>
  <si>
    <t>Range of % Salary Variance per FTE from 7A Average Salary by Cluster</t>
  </si>
  <si>
    <t>4-Year Weighted Average 7A Allotment Factor</t>
  </si>
  <si>
    <t>Weighted Average Salary and Weighted BLS Factor Adjustment Salary Comparison</t>
  </si>
  <si>
    <t>Weighted Average Salary and 4-Year Weighted Average Schedule 7A Allotment Factor Adjustment Salary Comparison</t>
  </si>
  <si>
    <t>Average Salary and 4-Year Average Schedule 7A Allotment Factor Adjustment Salary Comparison</t>
  </si>
  <si>
    <t>% of  Statewide Historical WAFM Funding</t>
  </si>
  <si>
    <t>(Historical) WAFM Funding Subject to Reallocation</t>
  </si>
  <si>
    <t>Re-allocation Ratio</t>
  </si>
  <si>
    <t>E 
= (D / B)</t>
  </si>
  <si>
    <t>H
 = (G / B)</t>
  </si>
  <si>
    <t>I
 = (F - C)</t>
  </si>
  <si>
    <t>J
= (I / C)</t>
  </si>
  <si>
    <t>K
= (G / D) -100%</t>
  </si>
  <si>
    <t>P
= (N - L)</t>
  </si>
  <si>
    <t>Q
= (P / L)</t>
  </si>
  <si>
    <t>R
=(O/M) -100%</t>
  </si>
  <si>
    <t>Z</t>
  </si>
  <si>
    <t>AA
= (W - S)</t>
  </si>
  <si>
    <t>AB
= (AA / S)</t>
  </si>
  <si>
    <t>AC
=(Z/V) - 100%</t>
  </si>
  <si>
    <t>AD</t>
  </si>
  <si>
    <t>AE</t>
  </si>
  <si>
    <t>AF</t>
  </si>
  <si>
    <t>AG</t>
  </si>
  <si>
    <t>AH</t>
  </si>
  <si>
    <t>AI</t>
  </si>
  <si>
    <t>AJ</t>
  </si>
  <si>
    <t>AK</t>
  </si>
  <si>
    <t>AL
=(AH/AD) -100%</t>
  </si>
  <si>
    <t>AM
=(AI/AE) -100%</t>
  </si>
  <si>
    <t>AN
=(AJ/AF) -100%</t>
  </si>
  <si>
    <t>AO
=(AK/AG) -100%</t>
  </si>
  <si>
    <t>AP</t>
  </si>
  <si>
    <t>AQ</t>
  </si>
  <si>
    <t>AR</t>
  </si>
  <si>
    <t>AS</t>
  </si>
  <si>
    <t>AT</t>
  </si>
  <si>
    <t>AU</t>
  </si>
  <si>
    <t>AV</t>
  </si>
  <si>
    <t>AW</t>
  </si>
  <si>
    <t>BA</t>
  </si>
  <si>
    <t>BE</t>
  </si>
  <si>
    <t>BI</t>
  </si>
  <si>
    <t>AX
= (AW - AV)</t>
  </si>
  <si>
    <t>AY
= (AX / AV)</t>
  </si>
  <si>
    <t>AZ
= AW</t>
  </si>
  <si>
    <t>BB
= (BA - AZ)</t>
  </si>
  <si>
    <t>BC
= (BB / AV)</t>
  </si>
  <si>
    <t>BD
= BA</t>
  </si>
  <si>
    <t>BF
= (BE - BD)</t>
  </si>
  <si>
    <t>BG
= (BF / AV)</t>
  </si>
  <si>
    <t>BH
= BE</t>
  </si>
  <si>
    <t>BJ
= (BI - BH)</t>
  </si>
  <si>
    <t>BK
= (BJ / AV)</t>
  </si>
  <si>
    <t>FTE Allotment Factor with 7A Cap (includes FTE Floor Adjustment)</t>
  </si>
  <si>
    <t>FTE Allotment Factor
(Floor at bottom)</t>
  </si>
  <si>
    <t>Average Salary and BLS Factor Adjustment with 7A Average Salary Cap Salary Comparison</t>
  </si>
  <si>
    <t>Weighted Average Salary and Weighted BLS Factor Adjustment with 7A Weighted Average Salary Cap Salary Comparison</t>
  </si>
  <si>
    <t>Recommendation 1</t>
  </si>
  <si>
    <t>Recommendation 6</t>
  </si>
  <si>
    <t>Recommendation 7</t>
  </si>
  <si>
    <t>WAFM Funding Floor Adjustment</t>
  </si>
  <si>
    <t>Recommendation 2</t>
  </si>
  <si>
    <t>Recommendation 3</t>
  </si>
  <si>
    <t>Recommendation 4</t>
  </si>
  <si>
    <t>Preliminary Reduction for Fund Balance Above the 1% Cap</t>
  </si>
  <si>
    <t>TCTF Reduction for SJO Position Converted to Judgeship</t>
  </si>
  <si>
    <t>Annualization of Reduction for SJO Position Converted to Judgeship</t>
  </si>
  <si>
    <t>BL
= BI</t>
  </si>
  <si>
    <t>BM</t>
  </si>
  <si>
    <t>Total WAFM Funding Need (AB 1058 Update)</t>
  </si>
  <si>
    <t>Change in WAFM Funding Need (AB 1058 Update)</t>
  </si>
  <si>
    <t>BO
= (BN / AV)</t>
  </si>
  <si>
    <t>BP
= (BM - AV)</t>
  </si>
  <si>
    <t>BQ
= (BP / AV)</t>
  </si>
  <si>
    <t>Change in AB 1058 Adjustment</t>
  </si>
  <si>
    <t>6 = Sum of 1 to 5</t>
  </si>
  <si>
    <t>9 = Sum of 6 to 8</t>
  </si>
  <si>
    <t>General Fund Benefits Base Allocation (2010-11 and 2011-12)</t>
  </si>
  <si>
    <t>Adjustment Related to WAFM Funding Floor</t>
  </si>
  <si>
    <t>I
(Sum of A to H)</t>
  </si>
  <si>
    <t>Court Reallocation Ratio by Cluster</t>
  </si>
  <si>
    <t>Below 80%</t>
  </si>
  <si>
    <t>Between 80% and 110%</t>
  </si>
  <si>
    <t>Above 110%</t>
  </si>
  <si>
    <t>15-16 Estimated OE&amp;E Needed</t>
  </si>
  <si>
    <t>Estimated OE&amp;E Needed (OE&amp;E Update)</t>
  </si>
  <si>
    <t>Change in Estimated OE&amp;E Needed (OE&amp;E Update)</t>
  </si>
  <si>
    <t>% Change in Estimated OE&amp;E Needed (OE&amp;E Update)</t>
  </si>
  <si>
    <t>Change in WAFM Funding Need 
(15-16 to 16-17)</t>
  </si>
  <si>
    <t>% Change in WAFM Funding Need 
(15-16 to 16-17)</t>
  </si>
  <si>
    <t>Total WAFM Funding Need (OE&amp;E Update)</t>
  </si>
  <si>
    <t>Change in WAFM Funding Need (OE&amp;E Update)</t>
  </si>
  <si>
    <t>% Change in WAFM Funding Need (OE&amp;E Update)</t>
  </si>
  <si>
    <t>BP
= BM</t>
  </si>
  <si>
    <t>BQ</t>
  </si>
  <si>
    <t>BR
= (BQ - BP)</t>
  </si>
  <si>
    <t>BN
= (BM - BL)</t>
  </si>
  <si>
    <t>BS
= (BR / AV)</t>
  </si>
  <si>
    <t>% Change in WAFM Funding Need (AB 1058 Update)</t>
  </si>
  <si>
    <t>Reallocation of 40%</t>
  </si>
  <si>
    <t>40 Percent of Funding Subject to Reallocation</t>
  </si>
  <si>
    <t>E = 40% * Col. A</t>
  </si>
  <si>
    <t>F = $576.2M * Col. C</t>
  </si>
  <si>
    <t>2016-2017 Allocation of New Funding and Reallocation of Historical Funding (assumes $20 million in new funding)</t>
  </si>
  <si>
    <t>Court's Share of Current Historical Funding vs. FY 16-17 WAFM Funding Need</t>
  </si>
  <si>
    <t>New Reallocation of $214.2M</t>
  </si>
  <si>
    <t>Allocation of $214.2 Million Using 16-17 WAFM</t>
  </si>
  <si>
    <t>H = $214.2M*C</t>
  </si>
  <si>
    <t>I = -$214.2M*B</t>
  </si>
  <si>
    <t>Reallocation of $20.0M</t>
  </si>
  <si>
    <t>K = $20.0M*C</t>
  </si>
  <si>
    <t>Original Share of $20.0 Million of Historical Allocation To Be Reallocated</t>
  </si>
  <si>
    <t>Original Share of $214.2 Million of Historical Allocation To Be Reallocated</t>
  </si>
  <si>
    <t>L = -$20.0M*B</t>
  </si>
  <si>
    <t>N = $214.2M * C</t>
  </si>
  <si>
    <t>O = $20.0M * C</t>
  </si>
  <si>
    <t>Reversal of 2015-16 WAFM Allocation</t>
  </si>
  <si>
    <t xml:space="preserve">30% Reallocation </t>
  </si>
  <si>
    <t xml:space="preserve">$214.2M Reallocation </t>
  </si>
  <si>
    <t>Estimated 
2016-17 
Net Total Adjustments to Allocation</t>
  </si>
  <si>
    <t>Automated Recordkeeping and Micrographics Distribution
(14-15)</t>
  </si>
  <si>
    <t>TCTF Reduction and Annualization for SJO Conversions</t>
  </si>
  <si>
    <t>2013-14 Benefits Subsidy Reduction Return Allocation (Pending Recommendation and Approval)</t>
  </si>
  <si>
    <t>Estimated 2015-16 Benefits Funding (Full-Year) (Pending Approval)</t>
  </si>
  <si>
    <t>Estimated Funding Floor Adjustment in 2018-19</t>
  </si>
  <si>
    <t>Estimated Funding Floor Adjustment in 2019-20</t>
  </si>
  <si>
    <t>Estimated Funding Floor Adjustment in 2020-21</t>
  </si>
  <si>
    <t>AA</t>
  </si>
  <si>
    <t>AB</t>
  </si>
  <si>
    <t>AC</t>
  </si>
  <si>
    <t>Allocation of $19.6 Million Using 16-17 WAFM</t>
  </si>
  <si>
    <t>16-17 Total WAFM Funding Need</t>
  </si>
  <si>
    <t>% of 16-17 Statewide WAFM Funding Need</t>
  </si>
  <si>
    <t>16-17 Re-allocation Ratio</t>
  </si>
  <si>
    <t>16-17 RAS FTE Need</t>
  </si>
  <si>
    <t>% of 16-17 Statewide  RAS FTE Need</t>
  </si>
  <si>
    <t>16-17 FTE Allotment Factor
(Floor at bottom)</t>
  </si>
  <si>
    <t>% of 16-17 Statewide  FTE Allotment Factor</t>
  </si>
  <si>
    <t>16-17 Average % of Salary-Driven Benefits (Prog. 10)</t>
  </si>
  <si>
    <t>16-17 Average Non-Salary-Driven Benefits per FTE (Prog. 10)</t>
  </si>
  <si>
    <t>16-17 Average % of Salary-Driven Benefits (Prog. 90)</t>
  </si>
  <si>
    <t>16-17 Average Non-Salary-Driven Benefits per FTE (Prog. 90)</t>
  </si>
  <si>
    <t>16-17 Floor Eligible?</t>
  </si>
  <si>
    <t>16-17 Floor Allocation Adjustment</t>
  </si>
  <si>
    <t>% of 16-17 Statewide  Floor Allocation Adjustment</t>
  </si>
  <si>
    <t>As of July 1, 2016</t>
  </si>
  <si>
    <t>2017-2018 WAFM Allocation Adjustments Including Funding Floor</t>
  </si>
  <si>
    <t>Net Reallocation of 50 Percent of Historical Funding</t>
  </si>
  <si>
    <t>Reverse 
FY 2016-17 Net Reallocation of 40 Percent of Historical Funding</t>
  </si>
  <si>
    <t>Allocation of $233.8 Million in New Funding Using Updated WAFM</t>
  </si>
  <si>
    <t>Net Reallocation of $233.8 Million in Historical Funding</t>
  </si>
  <si>
    <t>Reverse 
FY 2016-17 Allocation and Reallocation of $233.8 Million in New Funding</t>
  </si>
  <si>
    <t>Total WAFM Adjustments to Base in 2017-18 Including Funding Floor</t>
  </si>
  <si>
    <t>Court's Share of Current Historical Funding vs. FY 17-18 WAFM Funding Need</t>
  </si>
  <si>
    <t>Share of Total WAFM Funding Need (FY 17-18)</t>
  </si>
  <si>
    <t>Reallocation of 50%</t>
  </si>
  <si>
    <t>50 Percent of Funding Subject to Reallocation</t>
  </si>
  <si>
    <t>E = 50% * Col. A</t>
  </si>
  <si>
    <t>F = $720.2M * Col. C</t>
  </si>
  <si>
    <t>Reversal of 2016-17 WAFM Allocation</t>
  </si>
  <si>
    <t xml:space="preserve">40% Reallocation </t>
  </si>
  <si>
    <t>Estimated 
2017-18 
Net Total Adjustments to Allocation</t>
  </si>
  <si>
    <t>N = $0M * C</t>
  </si>
  <si>
    <t>Allocation of $233.8Million Using 17-18 WAFM</t>
  </si>
  <si>
    <t>New Reallocation of $233.8M</t>
  </si>
  <si>
    <t>Original Share of $233.8Million of Historical Allocation To Be Reallocated</t>
  </si>
  <si>
    <t>H = $233.8M*C</t>
  </si>
  <si>
    <t>I = -$233.8M*B</t>
  </si>
  <si>
    <t>Allocation of $0Million Using 17-18 WAFM</t>
  </si>
  <si>
    <t>O = $0M * C</t>
  </si>
  <si>
    <t>Reallocation of $0M</t>
  </si>
  <si>
    <t>Allocation of $0 Million Using 17-18 WAFM</t>
  </si>
  <si>
    <t>K = $0M*C</t>
  </si>
  <si>
    <t>L = -$0M*B</t>
  </si>
  <si>
    <t xml:space="preserve">$233.8M Reallocation </t>
  </si>
  <si>
    <t>Estimated 2017-18 Funding Floor Adjustment</t>
  </si>
  <si>
    <t>Allocation of $233.8 Million Using 17-18 WAFM</t>
  </si>
  <si>
    <t>Allocation of $0 Million in New Funding</t>
  </si>
  <si>
    <t>Net Reallocation of $0 Million in Historical Funding</t>
  </si>
  <si>
    <t>FY 16-17 WAFM  Alloc of $233.8 to be reversed</t>
  </si>
  <si>
    <t>% change in BLS</t>
  </si>
  <si>
    <t>Swing in adjustment between estimated and FY 17-18</t>
  </si>
  <si>
    <t>Estimated 17-18 WAFM adj from FY 16-17 model</t>
  </si>
  <si>
    <t>Non-Sheriff's 
Security Non-BCP Funding</t>
  </si>
  <si>
    <t>Non-Sheriff's 
Security BCP Funding</t>
  </si>
  <si>
    <t>M
(Sum A:L)</t>
  </si>
  <si>
    <t>O
(Sum M:N)</t>
  </si>
  <si>
    <t>16-17 Pre-Benefits Adjusted Base</t>
  </si>
  <si>
    <t>16-17 Total Benefit Need</t>
  </si>
  <si>
    <t>16-17 Estimated OE&amp;E Needed</t>
  </si>
  <si>
    <t>16-17 AB 1058 Adjustment</t>
  </si>
  <si>
    <t>Recommendation 5</t>
  </si>
  <si>
    <t xml:space="preserve">2012-13 &amp; 2013-14 Previously Unfunded Benefits Costs Allocation </t>
  </si>
  <si>
    <t>WAFM Allocation</t>
  </si>
  <si>
    <t>Ending 2016-2017 TCTF Program 45.10 (0150010) Base Allocation</t>
  </si>
  <si>
    <t>2017-2018 Beginning Base Allocation:  2016-17 Beginning Base, 2016-2017 Base Allocations, and Annualization</t>
  </si>
  <si>
    <t>Preliminary Beginning Base in 2017-2018</t>
  </si>
  <si>
    <t>2015-16 Benefits Funding</t>
  </si>
  <si>
    <t xml:space="preserve">Court </t>
  </si>
  <si>
    <t>2016-2017 Total Benefit Cost Changes 2016 Fall Submission Included in 2017 Governor's Budget</t>
  </si>
  <si>
    <t xml:space="preserve">2016-2017 Total Benefit Cost Changes 2016 Spring Submission for Inclusion in 2017 Budget Act </t>
  </si>
  <si>
    <t xml:space="preserve">Total Non-Interpreter Cost Changes
</t>
  </si>
  <si>
    <t xml:space="preserve">Total Interpreter Cost Changes
</t>
  </si>
  <si>
    <t xml:space="preserve">Total Cost Changes as of 2016 Fall Request                     </t>
  </si>
  <si>
    <t xml:space="preserve">Total  Interpreter Cost Changes
</t>
  </si>
  <si>
    <t xml:space="preserve">Proposed Allocation of Total Cost Changes                   (D + E)      </t>
  </si>
  <si>
    <t>Chgs vs GB</t>
  </si>
  <si>
    <t xml:space="preserve">Imperial </t>
  </si>
  <si>
    <r>
      <t>Shasta</t>
    </r>
    <r>
      <rPr>
        <vertAlign val="superscript"/>
        <sz val="9"/>
        <color theme="1"/>
        <rFont val="Times New Roman"/>
        <family val="1"/>
      </rPr>
      <t xml:space="preserve"> </t>
    </r>
  </si>
  <si>
    <r>
      <t>Siskiyou</t>
    </r>
    <r>
      <rPr>
        <vertAlign val="superscript"/>
        <sz val="9"/>
        <color theme="1"/>
        <rFont val="Times New Roman"/>
        <family val="1"/>
      </rPr>
      <t xml:space="preserve"> </t>
    </r>
  </si>
  <si>
    <t>Total:</t>
  </si>
  <si>
    <t>4A</t>
  </si>
  <si>
    <t>(Janury 1, 2016-December 31, 2016)</t>
  </si>
  <si>
    <t>PRCS</t>
  </si>
  <si>
    <t>Parole</t>
  </si>
  <si>
    <t>Total Petitions
(PRCS + Parole)</t>
  </si>
  <si>
    <t>Percent of Statewide Total (PRCS+Parole)</t>
  </si>
  <si>
    <t>Allocation Amount
(PRCS+ Parole)</t>
  </si>
  <si>
    <t>Column A</t>
  </si>
  <si>
    <t>Column B</t>
  </si>
  <si>
    <t>Column C</t>
  </si>
  <si>
    <r>
      <t>Alpine</t>
    </r>
    <r>
      <rPr>
        <vertAlign val="superscript"/>
        <sz val="10"/>
        <rFont val="Arial Narrow"/>
        <family val="2"/>
      </rPr>
      <t>1,2</t>
    </r>
  </si>
  <si>
    <r>
      <t>Plumas</t>
    </r>
    <r>
      <rPr>
        <vertAlign val="superscript"/>
        <sz val="10"/>
        <rFont val="Arial Narrow"/>
        <family val="2"/>
      </rPr>
      <t>1,2</t>
    </r>
  </si>
  <si>
    <r>
      <t>Sutter</t>
    </r>
    <r>
      <rPr>
        <vertAlign val="superscript"/>
        <sz val="10"/>
        <rFont val="Arial Narrow"/>
        <family val="2"/>
      </rPr>
      <t>1,2</t>
    </r>
  </si>
  <si>
    <r>
      <t>Tehama</t>
    </r>
    <r>
      <rPr>
        <vertAlign val="superscript"/>
        <sz val="10"/>
        <rFont val="Arial Narrow"/>
        <family val="2"/>
      </rPr>
      <t>1,2</t>
    </r>
  </si>
  <si>
    <r>
      <t>Trinity</t>
    </r>
    <r>
      <rPr>
        <vertAlign val="superscript"/>
        <sz val="10"/>
        <rFont val="Arial Narrow"/>
        <family val="2"/>
      </rPr>
      <t>1</t>
    </r>
  </si>
  <si>
    <t>Total (statewide)</t>
  </si>
  <si>
    <r>
      <rPr>
        <vertAlign val="superscript"/>
        <sz val="10"/>
        <rFont val="Arial Narrow"/>
        <family val="2"/>
      </rPr>
      <t>1</t>
    </r>
    <r>
      <rPr>
        <sz val="10"/>
        <rFont val="Arial Narrow"/>
        <family val="2"/>
      </rPr>
      <t>proxy used for missing PRCS petitions (average of populated quarters)</t>
    </r>
  </si>
  <si>
    <r>
      <rPr>
        <vertAlign val="superscript"/>
        <sz val="10"/>
        <rFont val="Arial Narrow"/>
        <family val="2"/>
      </rPr>
      <t>2</t>
    </r>
    <r>
      <rPr>
        <sz val="10"/>
        <rFont val="Arial Narrow"/>
        <family val="2"/>
      </rPr>
      <t>proxy used for missing Parole petitions (average of populated quarters)</t>
    </r>
  </si>
  <si>
    <t>Proposed Allocation of New Funding for 2016-2017 Benefit Cost Changes</t>
  </si>
  <si>
    <t xml:space="preserve">Allocation of $9.223 Million of Criminal Justice Realignment Funding 
Using Percentage of Petitions to Revoke/Modify Post Release Community Supervision and Parole </t>
  </si>
  <si>
    <t xml:space="preserve">2017-2018 Allocation of New Funding and Reallocation of Historical Funding </t>
  </si>
  <si>
    <r>
      <t xml:space="preserve">Beginning 2016-2017 TCTF Program 45.10 (0150010) Base Allocation </t>
    </r>
    <r>
      <rPr>
        <b/>
        <vertAlign val="superscript"/>
        <sz val="10"/>
        <color theme="1"/>
        <rFont val="Times New Roman"/>
        <family val="1"/>
      </rPr>
      <t>1</t>
    </r>
  </si>
  <si>
    <t>1) Includes Judicial Council approved Non-sheriff Security  Non-BCP funding and Non-sheriff BCP funding allocations that are now part of the base allocation</t>
  </si>
  <si>
    <t xml:space="preserve">N/A </t>
  </si>
  <si>
    <t>Base Allocations</t>
  </si>
  <si>
    <t>One - Time Alocations</t>
  </si>
  <si>
    <t>1.  Includes $50 million that will be distributed from the Immediate &amp; Critical Needs Account.  For details, see Attachment C.</t>
  </si>
  <si>
    <r>
      <t>Preliminary 2017-2018 Base Allocation (TCTF and GF)</t>
    </r>
    <r>
      <rPr>
        <b/>
        <vertAlign val="superscript"/>
        <sz val="10"/>
        <color theme="1"/>
        <rFont val="Times New Roman"/>
        <family val="1"/>
      </rPr>
      <t>1</t>
    </r>
  </si>
  <si>
    <r>
      <t>Estimated 2016-17 Benefits Funding (Full-Year)</t>
    </r>
    <r>
      <rPr>
        <b/>
        <vertAlign val="superscript"/>
        <sz val="10"/>
        <color theme="1"/>
        <rFont val="Times New Roman"/>
        <family val="1"/>
      </rPr>
      <t>2</t>
    </r>
  </si>
  <si>
    <r>
      <t>2017-18 WAFM Allocation Adjustments</t>
    </r>
    <r>
      <rPr>
        <b/>
        <vertAlign val="superscript"/>
        <sz val="10"/>
        <color theme="1"/>
        <rFont val="Times New Roman"/>
        <family val="1"/>
      </rPr>
      <t>3</t>
    </r>
  </si>
  <si>
    <r>
      <t>2017-18 Funding Floor Allocation Adjustment</t>
    </r>
    <r>
      <rPr>
        <b/>
        <vertAlign val="superscript"/>
        <sz val="10"/>
        <color theme="1"/>
        <rFont val="Times New Roman"/>
        <family val="1"/>
      </rPr>
      <t>4</t>
    </r>
  </si>
  <si>
    <r>
      <t>Criminal Justice Realignment</t>
    </r>
    <r>
      <rPr>
        <b/>
        <vertAlign val="superscript"/>
        <sz val="10"/>
        <color theme="1"/>
        <rFont val="Times New Roman"/>
        <family val="1"/>
      </rPr>
      <t>5</t>
    </r>
  </si>
  <si>
    <t>Allocations by General Ledger Account</t>
  </si>
  <si>
    <t>Self-Help (part of TCTF base)</t>
  </si>
  <si>
    <t>General Fund Base Allocation (Benefits Costs)</t>
  </si>
  <si>
    <t>TCTF Base Distributed from ICNA</t>
  </si>
  <si>
    <t>2.  For details, see Attachment D.</t>
  </si>
  <si>
    <t>3.  For details, see Attachment F.</t>
  </si>
  <si>
    <t>4.  For details, see Attachment F.</t>
  </si>
  <si>
    <t>5.  For details, see Attachment E.</t>
  </si>
  <si>
    <r>
      <t xml:space="preserve">Preliminary One-Time Allocation Reduction for Fund Balance above the 1% Cap
</t>
    </r>
    <r>
      <rPr>
        <b/>
        <sz val="12"/>
        <color theme="1"/>
        <rFont val="Calibri"/>
        <family val="2"/>
        <scheme val="minor"/>
      </rPr>
      <t>(as of  July 21, 2017)</t>
    </r>
  </si>
  <si>
    <t>Cap</t>
  </si>
  <si>
    <t>FY 2016-17 Fund Balance</t>
  </si>
  <si>
    <t>Encumbrances</t>
  </si>
  <si>
    <t>Restricted</t>
  </si>
  <si>
    <t>Prepayments</t>
  </si>
  <si>
    <t>Balance of Approved 2016-2017 TCTF Funds Held on Behalf</t>
  </si>
  <si>
    <t>Fund Balance Subject to Cap</t>
  </si>
  <si>
    <t>Current Year Reduction</t>
  </si>
  <si>
    <t>Prior Year Disencum-brance</t>
  </si>
  <si>
    <t>Total Preliminary Reduction</t>
  </si>
  <si>
    <r>
      <t>Approved
 2017-2018 TCTF Funds Held on Behalf</t>
    </r>
    <r>
      <rPr>
        <b/>
        <vertAlign val="superscript"/>
        <sz val="12"/>
        <color theme="1"/>
        <rFont val="Calibri"/>
        <family val="2"/>
        <scheme val="minor"/>
      </rPr>
      <t>1</t>
    </r>
  </si>
  <si>
    <t>Net Reduction after Funds held on Behalf</t>
  </si>
  <si>
    <t>Col. A</t>
  </si>
  <si>
    <t>Col. B</t>
  </si>
  <si>
    <t>Col. C</t>
  </si>
  <si>
    <t>Col. D</t>
  </si>
  <si>
    <t>Col. E</t>
  </si>
  <si>
    <t>Col. F</t>
  </si>
  <si>
    <t>Col. F
(B - C - D - E - F)</t>
  </si>
  <si>
    <t>Col. G
(F - A)</t>
  </si>
  <si>
    <t>Col. H</t>
  </si>
  <si>
    <t>Col. I
(G + H)</t>
  </si>
  <si>
    <t>Col. J</t>
  </si>
  <si>
    <t>Col. K
(I + J)</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</si>
  <si>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</si>
  <si>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</si>
  <si>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</si>
  <si>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</si>
  <si>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</si>
  <si>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</si>
  <si>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</si>
  <si>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</si>
  <si>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</si>
  <si>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</si>
  <si>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</si>
  <si>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</si>
  <si>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</si>
  <si>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</si>
  <si>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</si>
  <si>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</si>
  <si>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</si>
  <si>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</si>
  <si>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</si>
  <si>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</si>
  <si>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</si>
  <si>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</si>
  <si>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</si>
  <si>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</si>
  <si>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</si>
  <si>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</si>
  <si>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</si>
  <si>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</si>
  <si>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</si>
  <si>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</si>
  <si>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</si>
  <si>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</si>
  <si>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</si>
  <si>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</si>
  <si>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</si>
  <si>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</si>
  <si>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</si>
  <si>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</si>
  <si>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</si>
  <si>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</si>
  <si>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</si>
  <si>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</si>
  <si>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</si>
  <si>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</si>
  <si>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</si>
  <si>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</si>
  <si>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</si>
  <si>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</si>
  <si>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</si>
  <si>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</si>
  <si>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</si>
  <si>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</si>
  <si>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</si>
  <si>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</si>
  <si>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TUOLUNME</t>
  </si>
  <si>
    <t>VENTURA</t>
  </si>
  <si>
    <t>YOLO</t>
  </si>
  <si>
    <t>YUBA</t>
  </si>
  <si>
    <t>TOTAL</t>
  </si>
  <si>
    <t>1. The approved TCTF Funds Held on Behalf Requests do not include those requests pending before the Judicial Council at its July 28, 2017 meeting</t>
  </si>
  <si>
    <t>2017-2018 Allocation of $22 Million in new Court-Appointed Dependency Counsel Funding</t>
  </si>
  <si>
    <t>FY 2017-18 Allocation at $114,700,000</t>
  </si>
  <si>
    <t>FY 2017-18 Proposed Allocation of New $22,000,000 in funding</t>
  </si>
  <si>
    <t xml:space="preserve">FY 2017-18 Total Allocation </t>
  </si>
  <si>
    <t>Reserve</t>
  </si>
  <si>
    <r>
      <t>Preliminary Reduction for Fund Balance Above the 1% Cap</t>
    </r>
    <r>
      <rPr>
        <b/>
        <vertAlign val="superscript"/>
        <sz val="10"/>
        <color theme="1"/>
        <rFont val="Times New Roman"/>
        <family val="1"/>
      </rPr>
      <t>6</t>
    </r>
  </si>
  <si>
    <r>
      <t>Court-Appointed Dependency Counsel (new funding)</t>
    </r>
    <r>
      <rPr>
        <b/>
        <vertAlign val="superscript"/>
        <sz val="10"/>
        <color theme="1"/>
        <rFont val="Times New Roman"/>
        <family val="1"/>
      </rPr>
      <t>7</t>
    </r>
  </si>
  <si>
    <t>6.  For details, see Attachment G.</t>
  </si>
  <si>
    <t>7.  For details, see Attachment H.</t>
  </si>
  <si>
    <t>Court-Specific Allocations Approved by the Judicial Council at their July 28, 2017 Meeting</t>
  </si>
  <si>
    <t>Court-Appointed Dependency Counsel (new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</si>
</sst>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0_);_(* \(#,##0\);_(* &quot;-&quot;??_);_(@_)"/>
    <numFmt numFmtId="167" formatCode="_(&quot;$&quot;* #,##0_);_(&quot;$&quot;* \(#,##0\);_(&quot;$&quot;* &quot;-&quot;??_);_(@_)"/>
    <numFmt numFmtId="168" formatCode="0.000%"/>
    <numFmt numFmtId="169" formatCode="0.0000%"/>
    <numFmt numFmtId="170" formatCode="&quot;$&quot;#,##0.00"/>
    <numFmt numFmtId="171" formatCode="[$-409]d\-mmm\-yy;@"/>
  </numFmts>
  <fonts count="96"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sz val="10"/>
      <name val="Arial"/>
      <family val="2"/>
    </font>
    <font>
      <sz val="12"/>
      <color theme="1"/>
      <name val="Calibri"/>
      <family val="2"/>
      <scheme val="minor"/>
    </font>
    <font>
      <b/>
      <sz val="16"/>
      <color theme="1"/>
      <name val="Calibri"/>
      <family val="2"/>
      <scheme val="minor"/>
    </font>
    <font>
      <sz val="10"/>
      <color theme="1"/>
      <name val="Times New Roman"/>
      <family val="2"/>
    </font>
    <font>
      <b/>
      <sz val="10"/>
      <color theme="1"/>
      <name val="Times New Roman"/>
      <family val="1"/>
    </font>
    <font>
      <b/>
      <sz val="12"/>
      <color theme="1"/>
      <name val="Times New Roman"/>
      <family val="1"/>
    </font>
    <font>
      <sz val="11"/>
      <color indexed="8"/>
      <name val="Calibri"/>
      <family val="2"/>
    </font>
    <font>
      <sz val="12"/>
      <color theme="1"/>
      <name val="Times New Roman"/>
      <family val="1"/>
    </font>
    <font>
      <sz val="8"/>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2"/>
      <color indexed="8"/>
      <name val="Times New Roman"/>
      <family val="2"/>
    </font>
    <font>
      <sz val="10"/>
      <color indexed="24"/>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8"/>
      <color indexed="56"/>
      <name val="Cambria"/>
      <family val="2"/>
    </font>
    <font>
      <b/>
      <sz val="11"/>
      <color indexed="8"/>
      <name val="Calibri"/>
      <family val="2"/>
    </font>
    <font>
      <sz val="11"/>
      <color indexed="10"/>
      <name val="Calibri"/>
      <family val="2"/>
    </font>
    <font>
      <b/>
      <sz val="12"/>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b/>
      <vertAlign val="superscript"/>
      <sz val="10"/>
      <color theme="1"/>
      <name val="Times New Roman"/>
      <family val="1"/>
    </font>
    <font>
      <b/>
      <i/>
      <sz val="11"/>
      <color theme="1"/>
      <name val="Calibri"/>
      <family val="2"/>
      <scheme val="minor"/>
    </font>
    <font>
      <b/>
      <sz val="14"/>
      <color theme="1"/>
      <name val="Calibri"/>
      <family val="2"/>
      <scheme val="minor"/>
    </font>
    <font>
      <b/>
      <sz val="14"/>
      <color theme="1"/>
      <name val="Times New Roman"/>
      <family val="1"/>
    </font>
    <font>
      <b/>
      <sz val="16"/>
      <color theme="1"/>
      <name val="Times New Roman"/>
      <family val="1"/>
    </font>
    <font>
      <sz val="10"/>
      <color indexed="8"/>
      <name val="Calibri"/>
      <family val="2"/>
      <scheme val="minor"/>
    </font>
    <font>
      <sz val="9"/>
      <color indexed="8"/>
      <name val="Calibri"/>
      <family val="2"/>
      <scheme val="minor"/>
    </font>
    <font>
      <sz val="11"/>
      <color indexed="8"/>
      <name val="Calibri"/>
      <family val="2"/>
      <scheme val="minor"/>
    </font>
    <font>
      <b/>
      <sz val="11"/>
      <color indexed="8"/>
      <name val="Calibri"/>
      <family val="2"/>
      <scheme val="minor"/>
    </font>
    <font>
      <b/>
      <sz val="11"/>
      <name val="Calibri"/>
      <family val="2"/>
      <scheme val="minor"/>
    </font>
    <font>
      <b/>
      <sz val="14"/>
      <name val="Calibri"/>
      <family val="2"/>
      <scheme val="minor"/>
    </font>
    <font>
      <sz val="10"/>
      <color theme="1"/>
      <name val="Times New Roman"/>
      <family val="1"/>
    </font>
    <font>
      <b/>
      <sz val="10"/>
      <name val="Times New Roman"/>
      <family val="1"/>
    </font>
    <font>
      <b/>
      <sz val="10"/>
      <name val="Arial"/>
      <family val="2"/>
    </font>
    <font>
      <b/>
      <sz val="10"/>
      <color indexed="8"/>
      <name val="Calibri"/>
      <family val="2"/>
      <scheme val="minor"/>
    </font>
    <font>
      <b/>
      <sz val="8"/>
      <name val="Arial"/>
      <family val="2"/>
    </font>
    <font>
      <sz val="8"/>
      <name val="Arial"/>
      <family val="2"/>
    </font>
    <font>
      <b/>
      <sz val="11"/>
      <color theme="1"/>
      <name val="Times New Roman"/>
      <family val="1"/>
    </font>
    <font>
      <b/>
      <sz val="10"/>
      <color theme="1"/>
      <name val="Calibri"/>
      <family val="2"/>
      <scheme val="minor"/>
    </font>
    <font>
      <sz val="10"/>
      <color theme="1"/>
      <name val="Calibri"/>
      <family val="2"/>
      <scheme val="minor"/>
    </font>
    <font>
      <b/>
      <sz val="9"/>
      <color theme="1"/>
      <name val="Times New Roman"/>
      <family val="1"/>
    </font>
    <font>
      <b/>
      <sz val="11"/>
      <name val="Calibri"/>
      <family val="2"/>
    </font>
    <font>
      <sz val="11"/>
      <name val="Calibri"/>
      <family val="2"/>
    </font>
    <font>
      <b/>
      <sz val="11"/>
      <color rgb="FF000000"/>
      <name val="Calibri"/>
      <family val="2"/>
    </font>
    <font>
      <sz val="11"/>
      <color theme="1"/>
      <name val="Calibri"/>
      <family val="2"/>
    </font>
    <font>
      <sz val="12"/>
      <color rgb="FF000000"/>
      <name val="Calibri"/>
      <family val="2"/>
    </font>
    <font>
      <sz val="11"/>
      <color rgb="FF000000"/>
      <name val="Calibri"/>
      <family val="2"/>
    </font>
    <font>
      <b/>
      <sz val="10"/>
      <color rgb="FF000000"/>
      <name val="Calibri"/>
      <family val="2"/>
    </font>
    <font>
      <sz val="9"/>
      <color theme="1"/>
      <name val="Times New Roman"/>
      <family val="1"/>
    </font>
    <font>
      <sz val="11"/>
      <color theme="1"/>
      <name val="Times New Roman"/>
      <family val="1"/>
    </font>
    <font>
      <vertAlign val="superscript"/>
      <sz val="9"/>
      <color theme="1"/>
      <name val="Times New Roman"/>
      <family val="1"/>
    </font>
    <font>
      <sz val="8"/>
      <color theme="1"/>
      <name val="Times New Roman"/>
      <family val="1"/>
    </font>
    <font>
      <i/>
      <sz val="9"/>
      <color theme="1"/>
      <name val="Times New Roman"/>
      <family val="1"/>
    </font>
    <font>
      <sz val="8"/>
      <color rgb="FFFF0000"/>
      <name val="Times New Roman"/>
      <family val="1"/>
    </font>
    <font>
      <b/>
      <sz val="12"/>
      <color theme="1"/>
      <name val="Arial Narrow"/>
      <family val="2"/>
    </font>
    <font>
      <sz val="12"/>
      <color theme="1"/>
      <name val="Arial Narrow"/>
      <family val="2"/>
    </font>
    <font>
      <b/>
      <sz val="10"/>
      <color theme="1"/>
      <name val="Arial Narrow"/>
      <family val="2"/>
    </font>
    <font>
      <sz val="10"/>
      <color theme="1"/>
      <name val="Arial Narrow"/>
      <family val="2"/>
    </font>
    <font>
      <sz val="10"/>
      <name val="Arial Narrow"/>
      <family val="2"/>
    </font>
    <font>
      <b/>
      <sz val="10"/>
      <color theme="4" tint="-0.24994659260841701"/>
      <name val="Arial Narrow"/>
      <family val="2"/>
    </font>
    <font>
      <vertAlign val="superscript"/>
      <sz val="10"/>
      <name val="Arial Narrow"/>
      <family val="2"/>
    </font>
    <font>
      <sz val="10"/>
      <color theme="4" tint="-0.24994659260841701"/>
      <name val="Arial Narrow"/>
      <family val="2"/>
    </font>
    <font>
      <b/>
      <sz val="10"/>
      <name val="Arial Narrow"/>
      <family val="2"/>
    </font>
    <font>
      <sz val="8"/>
      <color theme="1"/>
      <name val="Times New Roman"/>
      <family val="2"/>
    </font>
    <font>
      <b/>
      <vertAlign val="superscript"/>
      <sz val="12"/>
      <color theme="1"/>
      <name val="Calibri"/>
      <family val="2"/>
      <scheme val="minor"/>
    </font>
    <font>
      <sz val="11"/>
      <name val="Arial Black"/>
      <family val="2"/>
    </font>
    <font>
      <b/>
      <sz val="9.5"/>
      <name val="Times New Roman"/>
      <family val="1"/>
    </font>
    <font>
      <sz val="10"/>
      <name val="Times New Roman"/>
      <family val="1"/>
    </font>
  </fonts>
  <fills count="40">
    <fill>
      <patternFill patternType="none"/>
    </fill>
    <fill>
      <patternFill patternType="gray125"/>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FFFFCC"/>
        <bgColor rgb="FF000000"/>
      </patternFill>
    </fill>
    <fill>
      <patternFill patternType="solid">
        <fgColor rgb="FFDAEEF3"/>
        <bgColor rgb="FF000000"/>
      </patternFill>
    </fill>
    <fill>
      <patternFill patternType="solid">
        <fgColor theme="4" tint="0.79998168889431442"/>
        <bgColor indexed="64"/>
      </patternFill>
    </fill>
    <fill>
      <patternFill patternType="solid">
        <fgColor rgb="FFFFFFFF"/>
        <bgColor rgb="FF000000"/>
      </patternFill>
    </fill>
    <fill>
      <patternFill patternType="solid">
        <fgColor theme="6" tint="0.79995117038483843"/>
        <bgColor indexed="65"/>
      </patternFill>
    </fill>
    <fill>
      <patternFill patternType="solid">
        <fgColor theme="9" tint="0.79995117038483843"/>
        <bgColor indexed="65"/>
      </patternFill>
    </fill>
    <fill>
      <patternFill patternType="solid">
        <fgColor theme="4" tint="0.79995117038483843"/>
        <bgColor indexed="65"/>
      </patternFill>
    </fill>
    <fill>
      <patternFill patternType="solid">
        <fgColor theme="4" tint="0.79995117038483843"/>
        <bgColor indexed="64"/>
      </patternFill>
    </fill>
    <fill>
      <patternFill patternType="solid">
        <fgColor theme="4" tint="0.79995117038483843"/>
        <bgColor theme="4" tint="0.79995117038483843"/>
      </patternFill>
    </fill>
    <fill>
      <patternFill patternType="solid">
        <fgColor rgb="FF99CCFF"/>
        <bgColor rgb="FF000000"/>
      </patternFill>
    </fill>
  </fills>
  <borders count="4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rgb="FF000000"/>
      </left>
      <right style="thin">
        <color rgb="FF000000"/>
      </right>
      <top style="thin">
        <color rgb="FF000000"/>
      </top>
      <bottom style="thin">
        <color rgb="FF000000"/>
      </bottom>
      <diagonal/>
    </border>
  </borders>
  <cellStyleXfs count="330">
    <xf numFmtId="0" fontId="0" fillId="0" borderId="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2" fillId="0" borderId="0"/>
    <xf numFmtId="0" fontId="12" fillId="0" borderId="0"/>
    <xf numFmtId="0" fontId="7" fillId="0" borderId="0"/>
    <xf numFmtId="43" fontId="7"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9" fontId="7"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8" fillId="0" borderId="0" applyFont="0" applyFill="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2" fillId="4" borderId="0" applyNumberFormat="0" applyBorder="0" applyAlignment="0" applyProtection="0"/>
    <xf numFmtId="0" fontId="23" fillId="21" borderId="12" applyNumberFormat="0" applyAlignment="0" applyProtection="0"/>
    <xf numFmtId="0" fontId="23" fillId="21" borderId="12" applyNumberFormat="0" applyAlignment="0" applyProtection="0"/>
    <xf numFmtId="0" fontId="23" fillId="21" borderId="12" applyNumberFormat="0" applyAlignment="0" applyProtection="0"/>
    <xf numFmtId="0" fontId="23" fillId="21" borderId="12" applyNumberFormat="0" applyAlignment="0" applyProtection="0"/>
    <xf numFmtId="0" fontId="23" fillId="21" borderId="12" applyNumberFormat="0" applyAlignment="0" applyProtection="0"/>
    <xf numFmtId="0" fontId="24" fillId="22" borderId="13" applyNumberFormat="0" applyAlignment="0" applyProtection="0"/>
    <xf numFmtId="0" fontId="24" fillId="22" borderId="13" applyNumberFormat="0" applyAlignment="0" applyProtection="0"/>
    <xf numFmtId="0" fontId="24" fillId="22" borderId="13" applyNumberFormat="0" applyAlignment="0" applyProtection="0"/>
    <xf numFmtId="0" fontId="24" fillId="22" borderId="13" applyNumberFormat="0" applyAlignment="0" applyProtection="0"/>
    <xf numFmtId="0" fontId="24" fillId="22" borderId="13" applyNumberFormat="0" applyAlignment="0" applyProtection="0"/>
    <xf numFmtId="43" fontId="18" fillId="0" borderId="0" applyFont="0" applyFill="0" applyBorder="0" applyAlignment="0" applyProtection="0"/>
    <xf numFmtId="43" fontId="2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3" fontId="27" fillId="0" borderId="0" applyFont="0" applyFill="0" applyBorder="0" applyAlignment="0" applyProtection="0"/>
    <xf numFmtId="44" fontId="12" fillId="0" borderId="0" applyFont="0" applyFill="0" applyBorder="0" applyAlignment="0" applyProtection="0"/>
    <xf numFmtId="44" fontId="18"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29" fillId="5" borderId="0" applyNumberFormat="0" applyBorder="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1" fillId="0" borderId="15"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8" borderId="12" applyNumberFormat="0" applyAlignment="0" applyProtection="0"/>
    <xf numFmtId="0" fontId="33" fillId="8" borderId="12" applyNumberFormat="0" applyAlignment="0" applyProtection="0"/>
    <xf numFmtId="0" fontId="33" fillId="8" borderId="12" applyNumberFormat="0" applyAlignment="0" applyProtection="0"/>
    <xf numFmtId="0" fontId="33" fillId="8" borderId="12" applyNumberFormat="0" applyAlignment="0" applyProtection="0"/>
    <xf numFmtId="0" fontId="33" fillId="8" borderId="12" applyNumberFormat="0" applyAlignment="0" applyProtection="0"/>
    <xf numFmtId="0" fontId="34" fillId="0" borderId="17" applyNumberFormat="0" applyFill="0" applyAlignment="0" applyProtection="0"/>
    <xf numFmtId="0" fontId="34" fillId="0" borderId="17" applyNumberFormat="0" applyFill="0" applyAlignment="0" applyProtection="0"/>
    <xf numFmtId="0" fontId="34" fillId="0" borderId="17" applyNumberFormat="0" applyFill="0" applyAlignment="0" applyProtection="0"/>
    <xf numFmtId="0" fontId="34" fillId="0" borderId="17" applyNumberFormat="0" applyFill="0" applyAlignment="0" applyProtection="0"/>
    <xf numFmtId="0" fontId="34" fillId="0" borderId="17" applyNumberFormat="0" applyFill="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25" fillId="0" borderId="0"/>
    <xf numFmtId="0" fontId="8" fillId="0" borderId="0"/>
    <xf numFmtId="0" fontId="8" fillId="0" borderId="0"/>
    <xf numFmtId="0" fontId="25" fillId="0" borderId="0"/>
    <xf numFmtId="0" fontId="12" fillId="0" borderId="0"/>
    <xf numFmtId="0" fontId="12" fillId="0" borderId="0"/>
    <xf numFmtId="0" fontId="18" fillId="0" borderId="0"/>
    <xf numFmtId="0" fontId="6" fillId="0" borderId="0"/>
    <xf numFmtId="0" fontId="12" fillId="0" borderId="0"/>
    <xf numFmtId="0" fontId="12" fillId="24" borderId="18" applyNumberFormat="0" applyFont="0" applyAlignment="0" applyProtection="0"/>
    <xf numFmtId="0" fontId="12" fillId="24" borderId="18" applyNumberFormat="0" applyFont="0" applyAlignment="0" applyProtection="0"/>
    <xf numFmtId="0" fontId="12" fillId="24" borderId="18" applyNumberFormat="0" applyFont="0" applyAlignment="0" applyProtection="0"/>
    <xf numFmtId="0" fontId="12" fillId="24" borderId="18" applyNumberFormat="0" applyFont="0" applyAlignment="0" applyProtection="0"/>
    <xf numFmtId="0" fontId="12" fillId="24" borderId="18" applyNumberFormat="0" applyFont="0" applyAlignment="0" applyProtection="0"/>
    <xf numFmtId="0" fontId="36" fillId="21" borderId="19" applyNumberFormat="0" applyAlignment="0" applyProtection="0"/>
    <xf numFmtId="0" fontId="36" fillId="21" borderId="19" applyNumberFormat="0" applyAlignment="0" applyProtection="0"/>
    <xf numFmtId="0" fontId="36" fillId="21" borderId="19" applyNumberFormat="0" applyAlignment="0" applyProtection="0"/>
    <xf numFmtId="0" fontId="36" fillId="21" borderId="19" applyNumberFormat="0" applyAlignment="0" applyProtection="0"/>
    <xf numFmtId="0" fontId="36" fillId="21" borderId="19" applyNumberFormat="0" applyAlignment="0" applyProtection="0"/>
    <xf numFmtId="40" fontId="37" fillId="25" borderId="0">
      <alignment horizontal="right"/>
    </xf>
    <xf numFmtId="0" fontId="38" fillId="25" borderId="0">
      <alignment horizontal="right"/>
    </xf>
    <xf numFmtId="0" fontId="39" fillId="25" borderId="5"/>
    <xf numFmtId="0" fontId="39" fillId="0" borderId="0" applyBorder="0">
      <alignment horizontal="centerContinuous"/>
    </xf>
    <xf numFmtId="0" fontId="40" fillId="0" borderId="0" applyBorder="0">
      <alignment horizontal="centerContinuous"/>
    </xf>
    <xf numFmtId="9" fontId="12"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2" fillId="0" borderId="20"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5" fillId="0" borderId="0"/>
    <xf numFmtId="43" fontId="5" fillId="0" borderId="0" applyFont="0" applyFill="0" applyBorder="0" applyAlignment="0" applyProtection="0"/>
    <xf numFmtId="0" fontId="12"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43" fontId="8"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 fillId="0" borderId="0"/>
    <xf numFmtId="0" fontId="12" fillId="0" borderId="0"/>
    <xf numFmtId="0" fontId="25" fillId="0" borderId="0"/>
    <xf numFmtId="0" fontId="8" fillId="0" borderId="0"/>
    <xf numFmtId="0" fontId="1" fillId="0" borderId="0"/>
    <xf numFmtId="0" fontId="8"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0" fontId="8" fillId="0" borderId="0"/>
    <xf numFmtId="0" fontId="12" fillId="0" borderId="0"/>
    <xf numFmtId="0" fontId="8" fillId="0" borderId="0"/>
    <xf numFmtId="0" fontId="8" fillId="0" borderId="0"/>
    <xf numFmtId="0" fontId="8" fillId="0" borderId="0"/>
    <xf numFmtId="9" fontId="8" fillId="0" borderId="0" applyFont="0" applyFill="0" applyBorder="0" applyAlignment="0" applyProtection="0"/>
    <xf numFmtId="0" fontId="8" fillId="34" borderId="0" applyNumberFormat="0" applyBorder="0" applyAlignment="0" applyProtection="0"/>
    <xf numFmtId="0" fontId="8" fillId="35" borderId="0" applyNumberFormat="0" applyBorder="0" applyAlignment="0" applyProtection="0"/>
    <xf numFmtId="0" fontId="70" fillId="0" borderId="0"/>
    <xf numFmtId="0" fontId="8" fillId="36" borderId="0" applyNumberFormat="0" applyBorder="0" applyAlignment="0" applyProtection="0"/>
  </cellStyleXfs>
  <cellXfs count="465">
    <xf numFmtId="0" fontId="0" fillId="0" borderId="0" xfId="0"/>
    <xf numFmtId="0" fontId="0" fillId="0" borderId="0" xfId="0" applyFill="1"/>
    <xf numFmtId="0" fontId="0" fillId="0" borderId="0" xfId="0" applyFill="1" applyBorder="1"/>
    <xf numFmtId="0" fontId="7" fillId="0" borderId="0" xfId="6"/>
    <xf numFmtId="0" fontId="16" fillId="2" borderId="6" xfId="6" applyFont="1" applyFill="1" applyBorder="1" applyAlignment="1">
      <alignment horizontal="center" wrapText="1"/>
    </xf>
    <xf numFmtId="0" fontId="17" fillId="2" borderId="6" xfId="6" applyFont="1" applyFill="1" applyBorder="1" applyAlignment="1">
      <alignment horizontal="center"/>
    </xf>
    <xf numFmtId="0" fontId="7" fillId="0" borderId="6" xfId="6" applyBorder="1"/>
    <xf numFmtId="166" fontId="17" fillId="0" borderId="6" xfId="7" applyNumberFormat="1" applyFont="1" applyBorder="1"/>
    <xf numFmtId="0" fontId="17" fillId="0" borderId="6" xfId="6" applyFont="1" applyBorder="1"/>
    <xf numFmtId="166" fontId="19" fillId="0" borderId="6" xfId="7" applyNumberFormat="1" applyFont="1" applyBorder="1"/>
    <xf numFmtId="0" fontId="20" fillId="0" borderId="0" xfId="0" applyFont="1" applyFill="1"/>
    <xf numFmtId="166" fontId="0" fillId="0" borderId="0" xfId="0" applyNumberFormat="1" applyFill="1"/>
    <xf numFmtId="166" fontId="0" fillId="0" borderId="0" xfId="2" applyNumberFormat="1" applyFont="1" applyFill="1" applyBorder="1"/>
    <xf numFmtId="166" fontId="0" fillId="0" borderId="0" xfId="2" applyNumberFormat="1" applyFont="1" applyFill="1"/>
    <xf numFmtId="166" fontId="45" fillId="0" borderId="0" xfId="2" applyNumberFormat="1" applyFont="1" applyFill="1"/>
    <xf numFmtId="0" fontId="15" fillId="0" borderId="0" xfId="281" applyFont="1"/>
    <xf numFmtId="0" fontId="17" fillId="2" borderId="6" xfId="6" applyFont="1" applyFill="1" applyBorder="1" applyAlignment="1">
      <alignment horizontal="center" wrapText="1"/>
    </xf>
    <xf numFmtId="0" fontId="7" fillId="0" borderId="0" xfId="6" applyFill="1"/>
    <xf numFmtId="166" fontId="46" fillId="0" borderId="0" xfId="2" applyNumberFormat="1" applyFont="1" applyFill="1"/>
    <xf numFmtId="0" fontId="13" fillId="0" borderId="6" xfId="0" applyFont="1" applyFill="1" applyBorder="1" applyAlignment="1">
      <alignment horizontal="center"/>
    </xf>
    <xf numFmtId="166" fontId="0" fillId="0" borderId="0" xfId="0" applyNumberFormat="1"/>
    <xf numFmtId="0" fontId="20" fillId="0" borderId="0" xfId="0" applyFont="1" applyFill="1" applyBorder="1"/>
    <xf numFmtId="166" fontId="20" fillId="0" borderId="0" xfId="2" applyNumberFormat="1" applyFont="1" applyFill="1"/>
    <xf numFmtId="166" fontId="0" fillId="0" borderId="0" xfId="2" applyNumberFormat="1" applyFont="1"/>
    <xf numFmtId="0" fontId="47" fillId="2" borderId="6" xfId="0" applyFont="1" applyFill="1" applyBorder="1" applyAlignment="1">
      <alignment horizontal="left" vertical="center" wrapText="1"/>
    </xf>
    <xf numFmtId="166" fontId="45" fillId="0" borderId="0" xfId="0" applyNumberFormat="1" applyFont="1" applyFill="1"/>
    <xf numFmtId="0" fontId="5" fillId="0" borderId="0" xfId="6" applyFont="1"/>
    <xf numFmtId="166" fontId="0" fillId="0" borderId="6" xfId="2" applyNumberFormat="1" applyFont="1" applyFill="1" applyBorder="1"/>
    <xf numFmtId="166" fontId="0" fillId="0" borderId="6" xfId="2" applyNumberFormat="1" applyFont="1" applyBorder="1"/>
    <xf numFmtId="0" fontId="0" fillId="0" borderId="6" xfId="0" applyBorder="1"/>
    <xf numFmtId="0" fontId="47" fillId="2" borderId="6" xfId="0" applyFont="1" applyFill="1" applyBorder="1" applyAlignment="1">
      <alignment horizontal="center" vertical="center" wrapText="1"/>
    </xf>
    <xf numFmtId="166" fontId="47" fillId="2" borderId="6" xfId="2" applyNumberFormat="1" applyFont="1" applyFill="1" applyBorder="1" applyAlignment="1">
      <alignment horizontal="center" vertical="center" wrapText="1"/>
    </xf>
    <xf numFmtId="0" fontId="0" fillId="0" borderId="6" xfId="0" applyFont="1" applyFill="1" applyBorder="1"/>
    <xf numFmtId="10" fontId="8" fillId="0" borderId="6" xfId="1" applyNumberFormat="1" applyFont="1" applyFill="1" applyBorder="1"/>
    <xf numFmtId="9" fontId="11" fillId="0" borderId="6" xfId="1" applyFont="1" applyBorder="1"/>
    <xf numFmtId="166" fontId="11" fillId="0" borderId="6" xfId="2" applyNumberFormat="1" applyFont="1" applyBorder="1"/>
    <xf numFmtId="43" fontId="0" fillId="0" borderId="0" xfId="0" applyNumberFormat="1" applyFill="1"/>
    <xf numFmtId="166" fontId="11" fillId="0" borderId="6" xfId="2" applyNumberFormat="1" applyFont="1" applyFill="1" applyBorder="1"/>
    <xf numFmtId="0" fontId="47" fillId="2" borderId="6" xfId="281" applyFont="1" applyFill="1" applyBorder="1" applyAlignment="1">
      <alignment horizontal="center" vertical="center" wrapText="1"/>
    </xf>
    <xf numFmtId="166" fontId="11" fillId="0" borderId="6" xfId="282" applyNumberFormat="1" applyFont="1" applyBorder="1"/>
    <xf numFmtId="0" fontId="13" fillId="0" borderId="6" xfId="0" applyFont="1" applyFill="1" applyBorder="1"/>
    <xf numFmtId="0" fontId="11" fillId="2" borderId="6" xfId="0" applyFont="1" applyFill="1" applyBorder="1" applyAlignment="1">
      <alignment horizontal="center"/>
    </xf>
    <xf numFmtId="0" fontId="49" fillId="2" borderId="6" xfId="0" applyFont="1" applyFill="1" applyBorder="1" applyAlignment="1">
      <alignment horizontal="center" wrapText="1"/>
    </xf>
    <xf numFmtId="166" fontId="13" fillId="0" borderId="6" xfId="2" applyNumberFormat="1" applyFont="1" applyFill="1" applyBorder="1"/>
    <xf numFmtId="166" fontId="44" fillId="0" borderId="6" xfId="2" applyNumberFormat="1" applyFont="1" applyFill="1" applyBorder="1"/>
    <xf numFmtId="166" fontId="44" fillId="0" borderId="6" xfId="1" applyNumberFormat="1" applyFont="1" applyFill="1" applyBorder="1"/>
    <xf numFmtId="0" fontId="50" fillId="0" borderId="0" xfId="0" applyFont="1"/>
    <xf numFmtId="166" fontId="7" fillId="0" borderId="0" xfId="2" applyNumberFormat="1" applyFont="1"/>
    <xf numFmtId="0" fontId="12" fillId="0" borderId="0" xfId="22"/>
    <xf numFmtId="0" fontId="54" fillId="0" borderId="0" xfId="22" applyFont="1" applyFill="1" applyBorder="1" applyAlignment="1">
      <alignment horizontal="right" vertical="top"/>
    </xf>
    <xf numFmtId="0" fontId="58" fillId="0" borderId="0" xfId="22" applyFont="1"/>
    <xf numFmtId="0" fontId="11" fillId="0" borderId="0" xfId="0" applyFont="1"/>
    <xf numFmtId="14" fontId="0" fillId="0" borderId="0" xfId="0" applyNumberFormat="1"/>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2" xfId="0" applyFont="1" applyBorder="1" applyAlignment="1">
      <alignment horizontal="center" vertical="center" wrapText="1"/>
    </xf>
    <xf numFmtId="0" fontId="0" fillId="0" borderId="21" xfId="0" applyBorder="1"/>
    <xf numFmtId="167" fontId="0" fillId="0" borderId="6" xfId="3" applyNumberFormat="1" applyFont="1" applyBorder="1"/>
    <xf numFmtId="44" fontId="0" fillId="0" borderId="22" xfId="0" applyNumberFormat="1" applyBorder="1"/>
    <xf numFmtId="0" fontId="0" fillId="0" borderId="27" xfId="0" applyBorder="1"/>
    <xf numFmtId="0" fontId="0" fillId="0" borderId="11" xfId="0" applyBorder="1"/>
    <xf numFmtId="167" fontId="0" fillId="0" borderId="11" xfId="3" applyNumberFormat="1" applyFont="1" applyBorder="1"/>
    <xf numFmtId="44" fontId="0" fillId="0" borderId="28" xfId="0" applyNumberFormat="1" applyBorder="1"/>
    <xf numFmtId="0" fontId="11" fillId="0" borderId="29" xfId="0" applyFont="1" applyBorder="1"/>
    <xf numFmtId="0" fontId="11" fillId="0" borderId="30" xfId="0" applyFont="1" applyBorder="1"/>
    <xf numFmtId="0" fontId="0" fillId="0" borderId="30" xfId="0" applyBorder="1"/>
    <xf numFmtId="167" fontId="11" fillId="0" borderId="31" xfId="0" applyNumberFormat="1" applyFont="1" applyBorder="1"/>
    <xf numFmtId="0" fontId="11" fillId="0" borderId="0" xfId="0" applyFont="1" applyBorder="1"/>
    <xf numFmtId="0" fontId="0" fillId="0" borderId="0" xfId="0" applyBorder="1"/>
    <xf numFmtId="167" fontId="11" fillId="0" borderId="0" xfId="0" applyNumberFormat="1" applyFont="1" applyBorder="1"/>
    <xf numFmtId="0" fontId="11" fillId="0" borderId="24" xfId="0" applyFont="1" applyBorder="1"/>
    <xf numFmtId="0" fontId="11" fillId="0" borderId="25" xfId="0" applyFont="1" applyBorder="1"/>
    <xf numFmtId="0" fontId="0" fillId="0" borderId="25" xfId="0" applyBorder="1"/>
    <xf numFmtId="167" fontId="11" fillId="0" borderId="26" xfId="0" applyNumberFormat="1" applyFont="1" applyBorder="1"/>
    <xf numFmtId="0" fontId="11" fillId="0" borderId="32" xfId="0" applyFont="1" applyBorder="1"/>
    <xf numFmtId="0" fontId="11" fillId="0" borderId="33" xfId="0" applyFont="1" applyBorder="1"/>
    <xf numFmtId="0" fontId="0" fillId="0" borderId="33" xfId="0" applyBorder="1"/>
    <xf numFmtId="167" fontId="11" fillId="0" borderId="34" xfId="0" applyNumberFormat="1" applyFont="1" applyBorder="1"/>
    <xf numFmtId="0" fontId="0" fillId="0" borderId="5" xfId="0" quotePrefix="1" applyBorder="1" applyAlignment="1">
      <alignment horizontal="right"/>
    </xf>
    <xf numFmtId="0" fontId="11" fillId="0" borderId="35" xfId="0" applyFont="1" applyBorder="1"/>
    <xf numFmtId="0" fontId="11" fillId="0" borderId="36" xfId="0" applyFont="1" applyBorder="1"/>
    <xf numFmtId="0" fontId="0" fillId="0" borderId="36" xfId="0" applyBorder="1"/>
    <xf numFmtId="167" fontId="11" fillId="0" borderId="37" xfId="0" applyNumberFormat="1" applyFont="1" applyBorder="1"/>
    <xf numFmtId="0" fontId="0" fillId="0" borderId="5" xfId="0" applyBorder="1"/>
    <xf numFmtId="0" fontId="11" fillId="0" borderId="38" xfId="0" applyFont="1" applyFill="1" applyBorder="1"/>
    <xf numFmtId="0" fontId="0" fillId="0" borderId="39"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44" xfId="0" applyBorder="1"/>
    <xf numFmtId="167" fontId="0" fillId="0" borderId="45" xfId="3" applyNumberFormat="1" applyFont="1" applyBorder="1"/>
    <xf numFmtId="9" fontId="0" fillId="0" borderId="0" xfId="1" applyFont="1"/>
    <xf numFmtId="0" fontId="0" fillId="0" borderId="1" xfId="0" applyBorder="1"/>
    <xf numFmtId="166" fontId="0" fillId="0" borderId="1" xfId="2" applyNumberFormat="1" applyFont="1" applyBorder="1"/>
    <xf numFmtId="9" fontId="0" fillId="0" borderId="1" xfId="1" applyFont="1" applyBorder="1"/>
    <xf numFmtId="166" fontId="0" fillId="0" borderId="1" xfId="0" applyNumberFormat="1" applyBorder="1"/>
    <xf numFmtId="0" fontId="16" fillId="2" borderId="6" xfId="291" applyFont="1" applyFill="1" applyBorder="1" applyAlignment="1">
      <alignment horizontal="center" vertical="center" wrapText="1"/>
    </xf>
    <xf numFmtId="166" fontId="16" fillId="26" borderId="6" xfId="2" applyNumberFormat="1" applyFont="1" applyFill="1" applyBorder="1" applyAlignment="1">
      <alignment horizontal="center" vertical="center" wrapText="1"/>
    </xf>
    <xf numFmtId="10" fontId="16" fillId="2" borderId="6" xfId="1" applyNumberFormat="1" applyFont="1" applyFill="1" applyBorder="1" applyAlignment="1">
      <alignment horizontal="center" vertical="center" wrapText="1"/>
    </xf>
    <xf numFmtId="0" fontId="47" fillId="2" borderId="6" xfId="291" applyFont="1" applyFill="1" applyBorder="1" applyAlignment="1">
      <alignment horizontal="center" vertical="center" wrapText="1"/>
    </xf>
    <xf numFmtId="0" fontId="11" fillId="2" borderId="6" xfId="0" applyFont="1" applyFill="1" applyBorder="1" applyAlignment="1">
      <alignment horizontal="center" vertical="center"/>
    </xf>
    <xf numFmtId="166" fontId="11" fillId="2" borderId="6" xfId="2" applyNumberFormat="1" applyFont="1" applyFill="1" applyBorder="1" applyAlignment="1">
      <alignment horizontal="center" vertical="center"/>
    </xf>
    <xf numFmtId="166" fontId="0" fillId="0" borderId="6" xfId="292" applyNumberFormat="1" applyFont="1" applyBorder="1"/>
    <xf numFmtId="10" fontId="0" fillId="0" borderId="6" xfId="1" applyNumberFormat="1" applyFont="1" applyFill="1" applyBorder="1"/>
    <xf numFmtId="166" fontId="0" fillId="0" borderId="6" xfId="0" applyNumberFormat="1" applyFill="1" applyBorder="1"/>
    <xf numFmtId="0" fontId="0" fillId="0" borderId="6" xfId="0" applyFill="1" applyBorder="1" applyAlignment="1">
      <alignment horizontal="center"/>
    </xf>
    <xf numFmtId="166" fontId="0" fillId="0" borderId="6" xfId="0" applyNumberFormat="1" applyBorder="1"/>
    <xf numFmtId="166" fontId="11" fillId="0" borderId="6" xfId="292" applyNumberFormat="1" applyFont="1" applyBorder="1"/>
    <xf numFmtId="166" fontId="46" fillId="0" borderId="0" xfId="0" applyNumberFormat="1" applyFont="1" applyFill="1"/>
    <xf numFmtId="0" fontId="47" fillId="0" borderId="0" xfId="0" applyFont="1" applyAlignment="1">
      <alignment vertical="center"/>
    </xf>
    <xf numFmtId="0" fontId="16" fillId="0" borderId="0" xfId="0" applyFont="1" applyAlignment="1">
      <alignment wrapText="1"/>
    </xf>
    <xf numFmtId="0" fontId="47" fillId="2" borderId="6" xfId="0" applyFont="1" applyFill="1" applyBorder="1" applyAlignment="1">
      <alignment horizontal="center" vertical="center"/>
    </xf>
    <xf numFmtId="0" fontId="59" fillId="0" borderId="0" xfId="0" applyFont="1" applyFill="1" applyBorder="1" applyAlignment="1"/>
    <xf numFmtId="0" fontId="16" fillId="0" borderId="0" xfId="281" applyFont="1" applyFill="1" applyBorder="1" applyAlignment="1">
      <alignment horizontal="center" vertical="center" wrapText="1"/>
    </xf>
    <xf numFmtId="0" fontId="47" fillId="0" borderId="0" xfId="0" applyFont="1" applyFill="1" applyBorder="1" applyAlignment="1">
      <alignment horizontal="center" vertical="center" wrapText="1"/>
    </xf>
    <xf numFmtId="10" fontId="8" fillId="0" borderId="0" xfId="1" applyNumberFormat="1" applyFont="1" applyFill="1" applyBorder="1"/>
    <xf numFmtId="0" fontId="0" fillId="0" borderId="0" xfId="0" applyFont="1" applyFill="1" applyBorder="1"/>
    <xf numFmtId="9" fontId="11" fillId="0" borderId="0" xfId="1" applyFont="1" applyFill="1" applyBorder="1"/>
    <xf numFmtId="166" fontId="8" fillId="0" borderId="6" xfId="2" applyNumberFormat="1" applyFont="1" applyFill="1" applyBorder="1"/>
    <xf numFmtId="166" fontId="16" fillId="2" borderId="6" xfId="2" applyNumberFormat="1" applyFont="1" applyFill="1" applyBorder="1" applyAlignment="1">
      <alignment horizontal="center" wrapText="1"/>
    </xf>
    <xf numFmtId="166" fontId="0" fillId="0" borderId="6" xfId="282" applyNumberFormat="1" applyFont="1" applyFill="1" applyBorder="1"/>
    <xf numFmtId="10" fontId="47" fillId="2" borderId="6" xfId="1" applyNumberFormat="1" applyFont="1" applyFill="1" applyBorder="1" applyAlignment="1">
      <alignment horizontal="center" vertical="center" wrapText="1"/>
    </xf>
    <xf numFmtId="10" fontId="11" fillId="0" borderId="6" xfId="1" applyNumberFormat="1" applyFont="1" applyBorder="1"/>
    <xf numFmtId="10" fontId="0" fillId="0" borderId="0" xfId="1" applyNumberFormat="1" applyFont="1" applyFill="1"/>
    <xf numFmtId="0" fontId="3" fillId="0" borderId="0" xfId="6" applyFont="1"/>
    <xf numFmtId="166" fontId="17" fillId="0" borderId="6" xfId="2" applyNumberFormat="1" applyFont="1" applyBorder="1"/>
    <xf numFmtId="166" fontId="7" fillId="0" borderId="6" xfId="2" applyNumberFormat="1" applyFont="1" applyBorder="1"/>
    <xf numFmtId="166" fontId="7" fillId="0" borderId="0" xfId="6" applyNumberFormat="1"/>
    <xf numFmtId="10" fontId="7" fillId="0" borderId="6" xfId="1" applyNumberFormat="1" applyFont="1" applyBorder="1"/>
    <xf numFmtId="166" fontId="0" fillId="0" borderId="6" xfId="2" applyNumberFormat="1" applyFont="1" applyFill="1" applyBorder="1" applyAlignment="1">
      <alignment horizontal="center"/>
    </xf>
    <xf numFmtId="0" fontId="2" fillId="0" borderId="0" xfId="294"/>
    <xf numFmtId="0" fontId="17" fillId="2" borderId="6" xfId="294" applyFont="1" applyFill="1" applyBorder="1" applyAlignment="1">
      <alignment horizontal="center" wrapText="1"/>
    </xf>
    <xf numFmtId="0" fontId="2" fillId="0" borderId="6" xfId="294" applyBorder="1"/>
    <xf numFmtId="166" fontId="0" fillId="0" borderId="6" xfId="295" applyNumberFormat="1" applyFont="1" applyBorder="1"/>
    <xf numFmtId="166" fontId="0" fillId="0" borderId="0" xfId="295" applyNumberFormat="1" applyFont="1"/>
    <xf numFmtId="0" fontId="17" fillId="0" borderId="6" xfId="294" applyFont="1" applyBorder="1"/>
    <xf numFmtId="166" fontId="17" fillId="0" borderId="6" xfId="295" applyNumberFormat="1" applyFont="1" applyBorder="1"/>
    <xf numFmtId="0" fontId="44" fillId="0" borderId="0" xfId="0" applyFont="1"/>
    <xf numFmtId="10" fontId="17" fillId="0" borderId="6" xfId="1" applyNumberFormat="1" applyFont="1" applyBorder="1"/>
    <xf numFmtId="166" fontId="60" fillId="2" borderId="6" xfId="2" applyNumberFormat="1" applyFont="1" applyFill="1" applyBorder="1" applyAlignment="1">
      <alignment horizontal="center" wrapText="1"/>
    </xf>
    <xf numFmtId="0" fontId="60" fillId="2" borderId="6" xfId="6" applyFont="1" applyFill="1" applyBorder="1" applyAlignment="1">
      <alignment horizontal="center" wrapText="1"/>
    </xf>
    <xf numFmtId="166" fontId="0" fillId="0" borderId="0" xfId="0" applyNumberFormat="1" applyFill="1" applyBorder="1"/>
    <xf numFmtId="165" fontId="0" fillId="0" borderId="0" xfId="1" applyNumberFormat="1" applyFont="1"/>
    <xf numFmtId="0" fontId="44" fillId="0" borderId="6" xfId="0" applyFont="1" applyFill="1" applyBorder="1"/>
    <xf numFmtId="0" fontId="55" fillId="0" borderId="6" xfId="22" applyFont="1" applyFill="1" applyBorder="1" applyAlignment="1">
      <alignment horizontal="center"/>
    </xf>
    <xf numFmtId="0" fontId="57" fillId="2" borderId="6" xfId="22" applyFont="1" applyFill="1" applyBorder="1" applyAlignment="1">
      <alignment vertical="center"/>
    </xf>
    <xf numFmtId="0" fontId="11" fillId="2" borderId="6" xfId="22" applyFont="1" applyFill="1" applyBorder="1" applyAlignment="1">
      <alignment horizontal="center" vertical="center" wrapText="1"/>
    </xf>
    <xf numFmtId="166" fontId="16" fillId="2" borderId="6" xfId="0" applyNumberFormat="1" applyFont="1" applyFill="1" applyBorder="1" applyAlignment="1">
      <alignment horizontal="center" wrapText="1"/>
    </xf>
    <xf numFmtId="166" fontId="47" fillId="2" borderId="6" xfId="0" applyNumberFormat="1" applyFont="1" applyFill="1" applyBorder="1" applyAlignment="1">
      <alignment horizontal="center" vertical="center"/>
    </xf>
    <xf numFmtId="0" fontId="51" fillId="0" borderId="0" xfId="6" applyFont="1" applyAlignment="1">
      <alignment horizontal="left" vertical="center"/>
    </xf>
    <xf numFmtId="0" fontId="56" fillId="2" borderId="6" xfId="22" applyFont="1" applyFill="1" applyBorder="1" applyAlignment="1">
      <alignment horizontal="center" vertical="center" wrapText="1"/>
    </xf>
    <xf numFmtId="166" fontId="16" fillId="0" borderId="0" xfId="2" applyNumberFormat="1" applyFont="1" applyFill="1" applyBorder="1" applyAlignment="1">
      <alignment horizontal="center" vertical="center"/>
    </xf>
    <xf numFmtId="166" fontId="16" fillId="0" borderId="0" xfId="2" applyNumberFormat="1" applyFont="1" applyFill="1" applyBorder="1" applyAlignment="1">
      <alignment horizontal="center" vertical="center" wrapText="1"/>
    </xf>
    <xf numFmtId="166" fontId="47" fillId="0" borderId="0" xfId="2" applyNumberFormat="1" applyFont="1" applyFill="1" applyBorder="1" applyAlignment="1">
      <alignment horizontal="center" vertical="center" wrapText="1"/>
    </xf>
    <xf numFmtId="166" fontId="11" fillId="0" borderId="0" xfId="2" applyNumberFormat="1" applyFont="1" applyFill="1" applyBorder="1"/>
    <xf numFmtId="0" fontId="11" fillId="0" borderId="6" xfId="0" applyFont="1" applyFill="1" applyBorder="1"/>
    <xf numFmtId="166" fontId="11" fillId="0" borderId="6" xfId="0" applyNumberFormat="1" applyFont="1" applyBorder="1"/>
    <xf numFmtId="166" fontId="1" fillId="0" borderId="0" xfId="2" applyNumberFormat="1" applyFont="1"/>
    <xf numFmtId="0" fontId="16" fillId="2" borderId="6" xfId="297" applyFont="1" applyFill="1" applyBorder="1" applyAlignment="1">
      <alignment horizontal="center" wrapText="1"/>
    </xf>
    <xf numFmtId="0" fontId="17" fillId="2" borderId="6" xfId="297" applyFont="1" applyFill="1" applyBorder="1" applyAlignment="1">
      <alignment horizontal="center" wrapText="1"/>
    </xf>
    <xf numFmtId="166" fontId="16" fillId="2" borderId="6" xfId="2" applyNumberFormat="1" applyFont="1" applyFill="1" applyBorder="1" applyAlignment="1">
      <alignment horizontal="center" vertical="center" wrapText="1"/>
    </xf>
    <xf numFmtId="0" fontId="52" fillId="0" borderId="0" xfId="6" applyFont="1" applyAlignment="1">
      <alignment horizontal="center" vertical="center" wrapText="1"/>
    </xf>
    <xf numFmtId="0" fontId="0" fillId="0" borderId="0" xfId="0" applyAlignment="1">
      <alignment vertical="center"/>
    </xf>
    <xf numFmtId="166" fontId="2" fillId="0" borderId="0" xfId="294" applyNumberFormat="1"/>
    <xf numFmtId="0" fontId="1" fillId="0" borderId="0" xfId="294" applyFont="1"/>
    <xf numFmtId="166" fontId="46" fillId="0" borderId="6" xfId="2" applyNumberFormat="1" applyFont="1" applyBorder="1"/>
    <xf numFmtId="166" fontId="57" fillId="0" borderId="6" xfId="2" applyNumberFormat="1" applyFont="1" applyBorder="1"/>
    <xf numFmtId="0" fontId="53" fillId="0" borderId="0" xfId="22" applyFont="1" applyFill="1" applyBorder="1" applyAlignment="1">
      <alignment vertical="top" wrapText="1"/>
    </xf>
    <xf numFmtId="166" fontId="46" fillId="0" borderId="6" xfId="2" applyNumberFormat="1" applyFont="1" applyFill="1" applyBorder="1" applyAlignment="1">
      <alignment horizontal="center"/>
    </xf>
    <xf numFmtId="165" fontId="46" fillId="0" borderId="6" xfId="1" applyNumberFormat="1" applyFont="1" applyFill="1" applyBorder="1" applyAlignment="1">
      <alignment horizontal="right"/>
    </xf>
    <xf numFmtId="166" fontId="12" fillId="0" borderId="0" xfId="22" applyNumberFormat="1"/>
    <xf numFmtId="166" fontId="12" fillId="0" borderId="0" xfId="2" applyNumberFormat="1" applyFont="1"/>
    <xf numFmtId="43" fontId="0" fillId="0" borderId="0" xfId="2" applyFont="1" applyFill="1"/>
    <xf numFmtId="166" fontId="53" fillId="0" borderId="0" xfId="22" applyNumberFormat="1" applyFont="1" applyFill="1" applyBorder="1" applyAlignment="1">
      <alignment vertical="top" wrapText="1"/>
    </xf>
    <xf numFmtId="165" fontId="12" fillId="0" borderId="0" xfId="1" applyNumberFormat="1" applyFont="1"/>
    <xf numFmtId="168" fontId="12" fillId="0" borderId="0" xfId="1" applyNumberFormat="1" applyFont="1"/>
    <xf numFmtId="0" fontId="11" fillId="2" borderId="6" xfId="22" applyFont="1" applyFill="1" applyBorder="1" applyAlignment="1">
      <alignment horizontal="center" vertical="center" wrapText="1"/>
    </xf>
    <xf numFmtId="165" fontId="0" fillId="0" borderId="6" xfId="1" applyNumberFormat="1" applyFont="1" applyFill="1" applyBorder="1"/>
    <xf numFmtId="9" fontId="11" fillId="0" borderId="6" xfId="1" applyNumberFormat="1" applyFont="1" applyFill="1" applyBorder="1"/>
    <xf numFmtId="166" fontId="53" fillId="0" borderId="0" xfId="2" applyNumberFormat="1" applyFont="1" applyFill="1" applyBorder="1" applyAlignment="1">
      <alignment vertical="top" wrapText="1"/>
    </xf>
    <xf numFmtId="166" fontId="12" fillId="0" borderId="0" xfId="2" applyNumberFormat="1" applyFont="1" applyAlignment="1">
      <alignment horizontal="right"/>
    </xf>
    <xf numFmtId="166" fontId="61" fillId="0" borderId="0" xfId="2" applyNumberFormat="1" applyFont="1" applyAlignment="1">
      <alignment horizontal="right"/>
    </xf>
    <xf numFmtId="0" fontId="62" fillId="0" borderId="0" xfId="22" applyFont="1" applyFill="1" applyBorder="1" applyAlignment="1">
      <alignment horizontal="center" wrapText="1"/>
    </xf>
    <xf numFmtId="166" fontId="61" fillId="0" borderId="0" xfId="2" applyNumberFormat="1" applyFont="1"/>
    <xf numFmtId="0" fontId="11" fillId="2" borderId="6" xfId="22" applyFont="1" applyFill="1" applyBorder="1" applyAlignment="1">
      <alignment horizontal="center" vertical="center" wrapText="1"/>
    </xf>
    <xf numFmtId="166" fontId="46" fillId="0" borderId="6" xfId="2" applyNumberFormat="1" applyFont="1" applyFill="1" applyBorder="1" applyAlignment="1">
      <alignment horizontal="right"/>
    </xf>
    <xf numFmtId="10" fontId="46" fillId="0" borderId="6" xfId="1" applyNumberFormat="1" applyFont="1" applyFill="1" applyBorder="1" applyAlignment="1">
      <alignment horizontal="right"/>
    </xf>
    <xf numFmtId="166" fontId="57" fillId="0" borderId="6" xfId="2" applyNumberFormat="1" applyFont="1" applyFill="1" applyBorder="1" applyAlignment="1">
      <alignment horizontal="right"/>
    </xf>
    <xf numFmtId="0" fontId="11" fillId="2" borderId="6" xfId="22" applyFont="1" applyFill="1" applyBorder="1" applyAlignment="1">
      <alignment horizontal="center" vertical="center" wrapText="1"/>
    </xf>
    <xf numFmtId="0" fontId="11" fillId="2" borderId="6" xfId="22" applyFont="1" applyFill="1" applyBorder="1" applyAlignment="1">
      <alignment horizontal="center" vertical="center" wrapText="1"/>
    </xf>
    <xf numFmtId="166" fontId="63" fillId="0" borderId="0" xfId="2" applyNumberFormat="1" applyFont="1" applyAlignment="1">
      <alignment horizontal="right"/>
    </xf>
    <xf numFmtId="0" fontId="64" fillId="0" borderId="0" xfId="22" applyFont="1"/>
    <xf numFmtId="0" fontId="63" fillId="0" borderId="0" xfId="22" applyFont="1" applyAlignment="1">
      <alignment horizontal="center"/>
    </xf>
    <xf numFmtId="0" fontId="63" fillId="0" borderId="0" xfId="22" applyFont="1" applyAlignment="1">
      <alignment horizontal="center"/>
    </xf>
    <xf numFmtId="0" fontId="11" fillId="2" borderId="6"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0" borderId="0" xfId="0" applyFont="1" applyAlignment="1">
      <alignment horizontal="right"/>
    </xf>
    <xf numFmtId="165" fontId="61" fillId="0" borderId="0" xfId="1" applyNumberFormat="1" applyFont="1"/>
    <xf numFmtId="0" fontId="63" fillId="0" borderId="0" xfId="22" applyFont="1" applyAlignment="1">
      <alignment horizontal="center"/>
    </xf>
    <xf numFmtId="0" fontId="11" fillId="2" borderId="6" xfId="22" applyFont="1" applyFill="1" applyBorder="1" applyAlignment="1">
      <alignment horizontal="center" vertical="center" wrapText="1"/>
    </xf>
    <xf numFmtId="167" fontId="12" fillId="0" borderId="0" xfId="3" applyNumberFormat="1" applyFont="1" applyAlignment="1">
      <alignment horizontal="right"/>
    </xf>
    <xf numFmtId="167" fontId="61" fillId="0" borderId="0" xfId="3" applyNumberFormat="1" applyFont="1" applyAlignment="1">
      <alignment horizontal="right"/>
    </xf>
    <xf numFmtId="167" fontId="61" fillId="0" borderId="0" xfId="3" applyNumberFormat="1" applyFont="1"/>
    <xf numFmtId="165" fontId="57" fillId="0" borderId="6" xfId="1" applyNumberFormat="1" applyFont="1" applyFill="1" applyBorder="1" applyAlignment="1">
      <alignment horizontal="right"/>
    </xf>
    <xf numFmtId="0" fontId="63" fillId="0" borderId="3" xfId="22" applyFont="1" applyBorder="1" applyAlignment="1"/>
    <xf numFmtId="0" fontId="8" fillId="2" borderId="6" xfId="22" applyFont="1" applyFill="1" applyBorder="1" applyAlignment="1">
      <alignment horizontal="center" vertical="center" wrapText="1"/>
    </xf>
    <xf numFmtId="0" fontId="0" fillId="2" borderId="6" xfId="22" applyFont="1" applyFill="1" applyBorder="1" applyAlignment="1">
      <alignment horizontal="center" vertical="center"/>
    </xf>
    <xf numFmtId="166" fontId="57" fillId="0" borderId="6" xfId="2" applyNumberFormat="1" applyFont="1" applyFill="1" applyBorder="1"/>
    <xf numFmtId="0" fontId="55" fillId="0" borderId="6" xfId="22" applyFont="1" applyFill="1" applyBorder="1" applyAlignment="1">
      <alignment horizontal="left"/>
    </xf>
    <xf numFmtId="167" fontId="46" fillId="0" borderId="6" xfId="3" applyNumberFormat="1" applyFont="1" applyFill="1" applyBorder="1" applyAlignment="1">
      <alignment horizontal="right"/>
    </xf>
    <xf numFmtId="0" fontId="12" fillId="0" borderId="0" xfId="22" applyFill="1"/>
    <xf numFmtId="0" fontId="55" fillId="0" borderId="6" xfId="22" applyFont="1" applyFill="1" applyBorder="1" applyAlignment="1">
      <alignment horizontal="left" vertical="top" wrapText="1"/>
    </xf>
    <xf numFmtId="0" fontId="56" fillId="0" borderId="6" xfId="22" applyFont="1" applyFill="1" applyBorder="1" applyAlignment="1">
      <alignment horizontal="left"/>
    </xf>
    <xf numFmtId="167" fontId="57" fillId="0" borderId="6" xfId="3" applyNumberFormat="1" applyFont="1" applyFill="1" applyBorder="1" applyAlignment="1">
      <alignment horizontal="right"/>
    </xf>
    <xf numFmtId="10" fontId="57" fillId="0" borderId="6" xfId="1" applyNumberFormat="1" applyFont="1" applyFill="1" applyBorder="1" applyAlignment="1">
      <alignment horizontal="right"/>
    </xf>
    <xf numFmtId="0" fontId="63" fillId="0" borderId="0" xfId="22" applyFont="1" applyAlignment="1">
      <alignment horizontal="center"/>
    </xf>
    <xf numFmtId="0" fontId="11" fillId="2" borderId="6" xfId="22" applyFont="1" applyFill="1" applyBorder="1" applyAlignment="1">
      <alignment horizontal="center" vertical="center" wrapText="1"/>
    </xf>
    <xf numFmtId="0" fontId="66" fillId="2" borderId="6" xfId="22" applyFont="1" applyFill="1" applyBorder="1" applyAlignment="1">
      <alignment horizontal="center" vertical="center" wrapText="1"/>
    </xf>
    <xf numFmtId="0" fontId="67" fillId="0" borderId="0" xfId="0" applyFont="1"/>
    <xf numFmtId="0" fontId="12" fillId="0" borderId="0" xfId="22" applyFont="1"/>
    <xf numFmtId="0" fontId="63" fillId="0" borderId="0" xfId="22" applyFont="1" applyAlignment="1">
      <alignment horizontal="center"/>
    </xf>
    <xf numFmtId="0" fontId="11" fillId="2" borderId="6" xfId="22" applyFont="1" applyFill="1" applyBorder="1" applyAlignment="1">
      <alignment horizontal="center" vertical="center" wrapText="1"/>
    </xf>
    <xf numFmtId="166" fontId="2" fillId="0" borderId="0" xfId="2" applyNumberFormat="1" applyFont="1"/>
    <xf numFmtId="165" fontId="2" fillId="0" borderId="0" xfId="1" applyNumberFormat="1" applyFont="1"/>
    <xf numFmtId="0" fontId="11" fillId="2" borderId="6" xfId="22" applyFont="1" applyFill="1" applyBorder="1" applyAlignment="1">
      <alignment horizontal="center" vertical="center" wrapText="1"/>
    </xf>
    <xf numFmtId="0" fontId="1" fillId="0" borderId="0" xfId="299"/>
    <xf numFmtId="0" fontId="16" fillId="2" borderId="6" xfId="299" applyFont="1" applyFill="1" applyBorder="1" applyAlignment="1">
      <alignment horizontal="center" wrapText="1"/>
    </xf>
    <xf numFmtId="0" fontId="17" fillId="2" borderId="6" xfId="299" applyFont="1" applyFill="1" applyBorder="1" applyAlignment="1">
      <alignment horizontal="center"/>
    </xf>
    <xf numFmtId="0" fontId="17" fillId="2" borderId="6" xfId="299" applyFont="1" applyFill="1" applyBorder="1" applyAlignment="1">
      <alignment horizontal="center" wrapText="1"/>
    </xf>
    <xf numFmtId="0" fontId="1" fillId="0" borderId="6" xfId="299" applyBorder="1"/>
    <xf numFmtId="166" fontId="19" fillId="0" borderId="6" xfId="300" applyNumberFormat="1" applyFont="1" applyBorder="1"/>
    <xf numFmtId="166" fontId="17" fillId="0" borderId="6" xfId="300" applyNumberFormat="1" applyFont="1" applyBorder="1"/>
    <xf numFmtId="0" fontId="17" fillId="0" borderId="6" xfId="299" applyFont="1" applyBorder="1"/>
    <xf numFmtId="0" fontId="15" fillId="0" borderId="0" xfId="299" applyFont="1"/>
    <xf numFmtId="0" fontId="68" fillId="2" borderId="8" xfId="299" applyFont="1" applyFill="1" applyBorder="1" applyAlignment="1">
      <alignment horizontal="center" wrapText="1"/>
    </xf>
    <xf numFmtId="0" fontId="11" fillId="2" borderId="6" xfId="22" applyFont="1" applyFill="1" applyBorder="1" applyAlignment="1">
      <alignment horizontal="center" vertical="center" wrapText="1"/>
    </xf>
    <xf numFmtId="166" fontId="1" fillId="0" borderId="0" xfId="299" applyNumberFormat="1"/>
    <xf numFmtId="43" fontId="1" fillId="0" borderId="0" xfId="2" applyFont="1"/>
    <xf numFmtId="166" fontId="19" fillId="0" borderId="6" xfId="300" applyNumberFormat="1" applyFont="1" applyBorder="1" applyAlignment="1">
      <alignment horizontal="right"/>
    </xf>
    <xf numFmtId="0" fontId="52" fillId="0" borderId="0" xfId="299" applyFont="1" applyAlignment="1">
      <alignment vertical="center" wrapText="1"/>
    </xf>
    <xf numFmtId="166" fontId="12" fillId="0" borderId="0" xfId="2" applyNumberFormat="1" applyFont="1" applyFill="1"/>
    <xf numFmtId="0" fontId="11" fillId="2" borderId="6" xfId="22" applyFont="1" applyFill="1" applyBorder="1" applyAlignment="1">
      <alignment horizontal="center" vertical="center" wrapText="1"/>
    </xf>
    <xf numFmtId="0" fontId="52" fillId="0" borderId="0" xfId="6" applyFont="1" applyAlignment="1">
      <alignment horizontal="center" vertical="center" wrapText="1"/>
    </xf>
    <xf numFmtId="166" fontId="16" fillId="2" borderId="6" xfId="0" applyNumberFormat="1" applyFont="1" applyFill="1" applyBorder="1" applyAlignment="1">
      <alignment horizontal="center" vertical="center" wrapText="1"/>
    </xf>
    <xf numFmtId="0" fontId="16" fillId="2" borderId="6" xfId="281" applyFont="1" applyFill="1" applyBorder="1" applyAlignment="1">
      <alignment horizontal="center" vertical="center" wrapText="1"/>
    </xf>
    <xf numFmtId="166" fontId="16" fillId="2" borderId="6" xfId="2" applyNumberFormat="1" applyFont="1" applyFill="1" applyBorder="1" applyAlignment="1">
      <alignment horizontal="center" vertical="center" wrapText="1"/>
    </xf>
    <xf numFmtId="166" fontId="16" fillId="2" borderId="7" xfId="2" applyNumberFormat="1" applyFont="1" applyFill="1" applyBorder="1" applyAlignment="1">
      <alignment horizontal="center" vertical="center" wrapText="1"/>
    </xf>
    <xf numFmtId="166" fontId="19" fillId="28" borderId="6" xfId="7" applyNumberFormat="1" applyFont="1" applyFill="1" applyBorder="1"/>
    <xf numFmtId="166" fontId="46" fillId="28" borderId="6" xfId="2" applyNumberFormat="1" applyFont="1" applyFill="1" applyBorder="1" applyAlignment="1">
      <alignment horizontal="center"/>
    </xf>
    <xf numFmtId="166" fontId="46" fillId="28" borderId="6" xfId="2" applyNumberFormat="1" applyFont="1" applyFill="1" applyBorder="1"/>
    <xf numFmtId="10" fontId="46" fillId="28" borderId="6" xfId="1" applyNumberFormat="1" applyFont="1" applyFill="1" applyBorder="1" applyAlignment="1">
      <alignment horizontal="right"/>
    </xf>
    <xf numFmtId="166" fontId="46" fillId="28" borderId="6" xfId="2" applyNumberFormat="1" applyFont="1" applyFill="1" applyBorder="1" applyAlignment="1">
      <alignment horizontal="right"/>
    </xf>
    <xf numFmtId="166" fontId="73" fillId="0" borderId="6" xfId="2" applyNumberFormat="1" applyFont="1" applyFill="1" applyBorder="1"/>
    <xf numFmtId="166" fontId="16" fillId="2" borderId="6" xfId="0" applyNumberFormat="1" applyFont="1" applyFill="1" applyBorder="1" applyAlignment="1">
      <alignment horizontal="center" vertical="center" wrapText="1"/>
    </xf>
    <xf numFmtId="0" fontId="16" fillId="2" borderId="6" xfId="281" applyFont="1" applyFill="1" applyBorder="1" applyAlignment="1">
      <alignment horizontal="center" vertical="center" wrapText="1"/>
    </xf>
    <xf numFmtId="166" fontId="16" fillId="2" borderId="6" xfId="2" applyNumberFormat="1" applyFont="1" applyFill="1" applyBorder="1" applyAlignment="1">
      <alignment horizontal="center" vertical="center" wrapText="1"/>
    </xf>
    <xf numFmtId="166" fontId="16" fillId="2" borderId="7" xfId="2" applyNumberFormat="1" applyFont="1" applyFill="1" applyBorder="1" applyAlignment="1">
      <alignment horizontal="center" vertical="center" wrapText="1"/>
    </xf>
    <xf numFmtId="166" fontId="11" fillId="0" borderId="0" xfId="2" applyNumberFormat="1" applyFont="1" applyBorder="1"/>
    <xf numFmtId="0" fontId="47" fillId="0" borderId="0" xfId="0" applyFont="1" applyAlignment="1">
      <alignment vertical="center" wrapText="1"/>
    </xf>
    <xf numFmtId="10" fontId="0" fillId="0" borderId="0" xfId="1" applyNumberFormat="1" applyFont="1"/>
    <xf numFmtId="0" fontId="49" fillId="2" borderId="23" xfId="0" applyFont="1" applyFill="1" applyBorder="1" applyAlignment="1">
      <alignment horizontal="center" wrapText="1"/>
    </xf>
    <xf numFmtId="10" fontId="0" fillId="27" borderId="0" xfId="1" applyNumberFormat="1" applyFont="1" applyFill="1"/>
    <xf numFmtId="0" fontId="49" fillId="2" borderId="4" xfId="0" applyFont="1" applyFill="1" applyBorder="1" applyAlignment="1">
      <alignment horizontal="center" wrapText="1"/>
    </xf>
    <xf numFmtId="166" fontId="73" fillId="27" borderId="6" xfId="2" applyNumberFormat="1" applyFont="1" applyFill="1" applyBorder="1"/>
    <xf numFmtId="166" fontId="0" fillId="27" borderId="0" xfId="0" applyNumberFormat="1" applyFill="1"/>
    <xf numFmtId="0" fontId="72" fillId="0" borderId="0" xfId="0" applyFont="1" applyFill="1" applyBorder="1"/>
    <xf numFmtId="0" fontId="52" fillId="0" borderId="0" xfId="6" applyFont="1" applyAlignment="1">
      <alignment horizontal="center" vertical="center" wrapText="1"/>
    </xf>
    <xf numFmtId="166" fontId="19" fillId="0" borderId="6" xfId="302" applyNumberFormat="1" applyFont="1" applyFill="1" applyBorder="1"/>
    <xf numFmtId="166" fontId="17" fillId="0" borderId="6" xfId="302" applyNumberFormat="1" applyFont="1" applyBorder="1"/>
    <xf numFmtId="166" fontId="70" fillId="30" borderId="6" xfId="2" applyNumberFormat="1" applyFont="1" applyFill="1" applyBorder="1" applyAlignment="1">
      <alignment horizontal="center"/>
    </xf>
    <xf numFmtId="0" fontId="71" fillId="31" borderId="6" xfId="22" applyFont="1" applyFill="1" applyBorder="1" applyAlignment="1">
      <alignment horizontal="center" vertical="center" wrapText="1"/>
    </xf>
    <xf numFmtId="0" fontId="74" fillId="31" borderId="6" xfId="22" applyFont="1" applyFill="1" applyBorder="1" applyAlignment="1">
      <alignment horizontal="center" vertical="center" wrapText="1"/>
    </xf>
    <xf numFmtId="0" fontId="75" fillId="31" borderId="6" xfId="22" applyFont="1" applyFill="1" applyBorder="1" applyAlignment="1">
      <alignment horizontal="center" vertical="center" wrapText="1"/>
    </xf>
    <xf numFmtId="166" fontId="69" fillId="0" borderId="6" xfId="2" applyNumberFormat="1" applyFont="1" applyFill="1" applyBorder="1"/>
    <xf numFmtId="165" fontId="69" fillId="0" borderId="6" xfId="1" applyNumberFormat="1" applyFont="1" applyFill="1" applyBorder="1" applyAlignment="1">
      <alignment horizontal="right"/>
    </xf>
    <xf numFmtId="0" fontId="12" fillId="0" borderId="0" xfId="22" applyFont="1" applyFill="1" applyBorder="1"/>
    <xf numFmtId="0" fontId="51" fillId="0" borderId="0" xfId="299" applyFont="1" applyAlignment="1">
      <alignment horizontal="left" vertical="center" wrapText="1"/>
    </xf>
    <xf numFmtId="43" fontId="1" fillId="0" borderId="0" xfId="299" applyNumberFormat="1"/>
    <xf numFmtId="166" fontId="19" fillId="0" borderId="6" xfId="300" applyNumberFormat="1" applyFont="1" applyFill="1" applyBorder="1"/>
    <xf numFmtId="0" fontId="76" fillId="0" borderId="0" xfId="0" applyFont="1"/>
    <xf numFmtId="0" fontId="76" fillId="0" borderId="0" xfId="0" applyFont="1" applyBorder="1" applyAlignment="1"/>
    <xf numFmtId="0" fontId="68" fillId="0" borderId="0" xfId="0" applyFont="1"/>
    <xf numFmtId="41" fontId="76" fillId="29" borderId="6" xfId="0" applyNumberFormat="1" applyFont="1" applyFill="1" applyBorder="1" applyAlignment="1">
      <alignment horizontal="center" wrapText="1"/>
    </xf>
    <xf numFmtId="41" fontId="76" fillId="29" borderId="8" xfId="0" applyNumberFormat="1" applyFont="1" applyFill="1" applyBorder="1" applyAlignment="1">
      <alignment horizontal="center" wrapText="1"/>
    </xf>
    <xf numFmtId="41" fontId="76" fillId="29" borderId="6" xfId="0" applyNumberFormat="1" applyFont="1" applyFill="1" applyBorder="1" applyAlignment="1">
      <alignment horizontal="center" vertical="center" wrapText="1"/>
    </xf>
    <xf numFmtId="41" fontId="76" fillId="29" borderId="0" xfId="0" applyNumberFormat="1" applyFont="1" applyFill="1" applyBorder="1" applyAlignment="1">
      <alignment horizontal="center" wrapText="1"/>
    </xf>
    <xf numFmtId="49" fontId="68" fillId="29" borderId="6" xfId="0" applyNumberFormat="1" applyFont="1" applyFill="1" applyBorder="1" applyAlignment="1">
      <alignment horizontal="center" wrapText="1"/>
    </xf>
    <xf numFmtId="41" fontId="68" fillId="32" borderId="6" xfId="0" applyNumberFormat="1" applyFont="1" applyFill="1" applyBorder="1" applyAlignment="1">
      <alignment horizontal="center" wrapText="1"/>
    </xf>
    <xf numFmtId="0" fontId="68" fillId="32" borderId="7" xfId="0" applyFont="1" applyFill="1" applyBorder="1" applyAlignment="1">
      <alignment horizontal="center" wrapText="1"/>
    </xf>
    <xf numFmtId="41" fontId="68" fillId="32" borderId="0" xfId="0" applyNumberFormat="1" applyFont="1" applyFill="1" applyBorder="1" applyAlignment="1">
      <alignment horizontal="center" wrapText="1"/>
    </xf>
    <xf numFmtId="0" fontId="76" fillId="0" borderId="0" xfId="0" applyFont="1" applyAlignment="1">
      <alignment wrapText="1"/>
    </xf>
    <xf numFmtId="0" fontId="76" fillId="29" borderId="6" xfId="0" applyFont="1" applyFill="1" applyBorder="1"/>
    <xf numFmtId="41" fontId="59" fillId="33" borderId="46" xfId="0" applyNumberFormat="1" applyFont="1" applyFill="1" applyBorder="1"/>
    <xf numFmtId="166" fontId="59" fillId="33" borderId="46" xfId="0" applyNumberFormat="1" applyFont="1" applyFill="1" applyBorder="1"/>
    <xf numFmtId="41" fontId="76" fillId="0" borderId="6" xfId="0" applyNumberFormat="1" applyFont="1" applyBorder="1"/>
    <xf numFmtId="41" fontId="76" fillId="29" borderId="0" xfId="0" applyNumberFormat="1" applyFont="1" applyFill="1" applyBorder="1"/>
    <xf numFmtId="41" fontId="68" fillId="0" borderId="6" xfId="0" applyNumberFormat="1" applyFont="1" applyBorder="1"/>
    <xf numFmtId="41" fontId="76" fillId="0" borderId="0" xfId="0" applyNumberFormat="1" applyFont="1"/>
    <xf numFmtId="41" fontId="72" fillId="33" borderId="46" xfId="0" applyNumberFormat="1" applyFont="1" applyFill="1" applyBorder="1"/>
    <xf numFmtId="0" fontId="68" fillId="29" borderId="6" xfId="0" applyFont="1" applyFill="1" applyBorder="1"/>
    <xf numFmtId="41" fontId="68" fillId="29" borderId="0" xfId="0" applyNumberFormat="1" applyFont="1" applyFill="1" applyBorder="1"/>
    <xf numFmtId="41" fontId="68" fillId="0" borderId="0" xfId="0" applyNumberFormat="1" applyFont="1"/>
    <xf numFmtId="0" fontId="68" fillId="29" borderId="0" xfId="0" applyFont="1" applyFill="1" applyBorder="1"/>
    <xf numFmtId="41" fontId="68" fillId="0" borderId="0" xfId="0" applyNumberFormat="1" applyFont="1" applyBorder="1"/>
    <xf numFmtId="0" fontId="79" fillId="29" borderId="0" xfId="0" applyFont="1" applyFill="1" applyBorder="1"/>
    <xf numFmtId="41" fontId="79" fillId="29" borderId="0" xfId="0" applyNumberFormat="1" applyFont="1" applyFill="1" applyBorder="1" applyAlignment="1"/>
    <xf numFmtId="41" fontId="80" fillId="29" borderId="0" xfId="0" applyNumberFormat="1" applyFont="1" applyFill="1" applyBorder="1" applyAlignment="1"/>
    <xf numFmtId="41" fontId="80" fillId="29" borderId="0" xfId="0" applyNumberFormat="1" applyFont="1" applyFill="1" applyAlignment="1"/>
    <xf numFmtId="0" fontId="81" fillId="29" borderId="0" xfId="0" applyFont="1" applyFill="1" applyBorder="1"/>
    <xf numFmtId="41" fontId="81" fillId="29" borderId="0" xfId="0" applyNumberFormat="1" applyFont="1" applyFill="1" applyAlignment="1"/>
    <xf numFmtId="41" fontId="79" fillId="29" borderId="0" xfId="0" applyNumberFormat="1" applyFont="1" applyFill="1" applyAlignment="1"/>
    <xf numFmtId="0" fontId="81" fillId="0" borderId="0" xfId="0" applyFont="1" applyAlignment="1">
      <alignment wrapText="1"/>
    </xf>
    <xf numFmtId="0" fontId="79" fillId="29" borderId="0" xfId="0" applyFont="1" applyFill="1" applyBorder="1" applyAlignment="1">
      <alignment wrapText="1"/>
    </xf>
    <xf numFmtId="0" fontId="79" fillId="0" borderId="0" xfId="0" applyFont="1" applyAlignment="1">
      <alignment wrapText="1"/>
    </xf>
    <xf numFmtId="0" fontId="80" fillId="0" borderId="0" xfId="0" applyFont="1" applyAlignment="1">
      <alignment wrapText="1"/>
    </xf>
    <xf numFmtId="0" fontId="76" fillId="29" borderId="0" xfId="0" applyFont="1" applyFill="1" applyBorder="1" applyAlignment="1">
      <alignment wrapText="1"/>
    </xf>
    <xf numFmtId="0" fontId="76" fillId="0" borderId="0" xfId="0" applyFont="1" applyAlignment="1"/>
    <xf numFmtId="41" fontId="76" fillId="0" borderId="0" xfId="0" applyNumberFormat="1" applyFont="1" applyAlignment="1"/>
    <xf numFmtId="41" fontId="76" fillId="29" borderId="0" xfId="0" applyNumberFormat="1" applyFont="1" applyFill="1" applyBorder="1" applyAlignment="1"/>
    <xf numFmtId="166" fontId="68" fillId="0" borderId="6" xfId="0" applyNumberFormat="1" applyFont="1" applyBorder="1"/>
    <xf numFmtId="0" fontId="59" fillId="0" borderId="0" xfId="0" applyFont="1"/>
    <xf numFmtId="0" fontId="84" fillId="29" borderId="6" xfId="0" applyFont="1" applyFill="1" applyBorder="1" applyAlignment="1">
      <alignment horizontal="center"/>
    </xf>
    <xf numFmtId="0" fontId="84" fillId="29" borderId="6" xfId="326" applyFont="1" applyFill="1" applyBorder="1" applyAlignment="1">
      <alignment horizontal="center"/>
    </xf>
    <xf numFmtId="0" fontId="84" fillId="29" borderId="6" xfId="327" applyFont="1" applyFill="1" applyBorder="1" applyAlignment="1">
      <alignment horizontal="center"/>
    </xf>
    <xf numFmtId="0" fontId="84" fillId="29" borderId="6" xfId="0" applyFont="1" applyFill="1" applyBorder="1" applyAlignment="1">
      <alignment horizontal="center" wrapText="1"/>
    </xf>
    <xf numFmtId="0" fontId="85" fillId="0" borderId="6" xfId="0" applyFont="1" applyFill="1" applyBorder="1"/>
    <xf numFmtId="0" fontId="84" fillId="0" borderId="6" xfId="326" applyFont="1" applyFill="1" applyBorder="1"/>
    <xf numFmtId="0" fontId="84" fillId="0" borderId="6" xfId="327" applyFont="1" applyFill="1" applyBorder="1"/>
    <xf numFmtId="0" fontId="84" fillId="0" borderId="6" xfId="0" applyFont="1" applyBorder="1" applyAlignment="1">
      <alignment horizontal="center" vertical="center" wrapText="1"/>
    </xf>
    <xf numFmtId="0" fontId="84" fillId="0" borderId="6" xfId="0" applyFont="1" applyFill="1" applyBorder="1" applyAlignment="1">
      <alignment horizontal="center" vertical="center" wrapText="1"/>
    </xf>
    <xf numFmtId="0" fontId="86" fillId="0" borderId="6" xfId="328" applyFont="1" applyBorder="1"/>
    <xf numFmtId="0" fontId="87" fillId="0" borderId="6" xfId="329" applyFont="1" applyFill="1" applyBorder="1" applyAlignment="1">
      <alignment horizontal="right"/>
    </xf>
    <xf numFmtId="166" fontId="86" fillId="0" borderId="6" xfId="2" applyNumberFormat="1" applyFont="1" applyBorder="1" applyAlignment="1">
      <alignment horizontal="right"/>
    </xf>
    <xf numFmtId="10" fontId="86" fillId="0" borderId="6" xfId="0" applyNumberFormat="1" applyFont="1" applyBorder="1" applyAlignment="1">
      <alignment horizontal="right"/>
    </xf>
    <xf numFmtId="164" fontId="86" fillId="0" borderId="6" xfId="0" applyNumberFormat="1" applyFont="1" applyBorder="1" applyAlignment="1">
      <alignment horizontal="right"/>
    </xf>
    <xf numFmtId="169" fontId="59" fillId="0" borderId="0" xfId="0" applyNumberFormat="1" applyFont="1"/>
    <xf numFmtId="44" fontId="59" fillId="0" borderId="0" xfId="3" applyFont="1"/>
    <xf numFmtId="0" fontId="86" fillId="37" borderId="6" xfId="328" applyFont="1" applyFill="1" applyBorder="1"/>
    <xf numFmtId="0" fontId="89" fillId="38" borderId="6" xfId="326" applyFont="1" applyFill="1" applyBorder="1"/>
    <xf numFmtId="0" fontId="89" fillId="38" borderId="6" xfId="327" applyFont="1" applyFill="1" applyBorder="1"/>
    <xf numFmtId="166" fontId="86" fillId="38" borderId="6" xfId="2" applyNumberFormat="1" applyFont="1" applyFill="1" applyBorder="1"/>
    <xf numFmtId="10" fontId="86" fillId="38" borderId="6" xfId="0" applyNumberFormat="1" applyFont="1" applyFill="1" applyBorder="1"/>
    <xf numFmtId="164" fontId="86" fillId="38" borderId="6" xfId="0" applyNumberFormat="1" applyFont="1" applyFill="1" applyBorder="1"/>
    <xf numFmtId="0" fontId="89" fillId="0" borderId="6" xfId="326" applyFont="1" applyFill="1" applyBorder="1"/>
    <xf numFmtId="0" fontId="89" fillId="0" borderId="6" xfId="327" applyFont="1" applyFill="1" applyBorder="1"/>
    <xf numFmtId="166" fontId="86" fillId="0" borderId="6" xfId="2" applyNumberFormat="1" applyFont="1" applyBorder="1"/>
    <xf numFmtId="10" fontId="86" fillId="0" borderId="6" xfId="0" applyNumberFormat="1" applyFont="1" applyBorder="1"/>
    <xf numFmtId="164" fontId="86" fillId="0" borderId="6" xfId="0" applyNumberFormat="1" applyFont="1" applyBorder="1"/>
    <xf numFmtId="0" fontId="90" fillId="0" borderId="6" xfId="328" applyFont="1" applyBorder="1"/>
    <xf numFmtId="0" fontId="87" fillId="0" borderId="6" xfId="326" applyFont="1" applyFill="1" applyBorder="1"/>
    <xf numFmtId="0" fontId="87" fillId="0" borderId="6" xfId="327" applyFont="1" applyFill="1" applyBorder="1"/>
    <xf numFmtId="166" fontId="90" fillId="0" borderId="6" xfId="2" applyNumberFormat="1" applyFont="1" applyBorder="1"/>
    <xf numFmtId="9" fontId="90" fillId="0" borderId="6" xfId="1" applyFont="1" applyBorder="1"/>
    <xf numFmtId="164" fontId="90" fillId="0" borderId="6" xfId="0" applyNumberFormat="1" applyFont="1" applyBorder="1"/>
    <xf numFmtId="0" fontId="86" fillId="0" borderId="0" xfId="0" applyFont="1"/>
    <xf numFmtId="0" fontId="85" fillId="0" borderId="0" xfId="0" applyFont="1" applyFill="1"/>
    <xf numFmtId="0" fontId="85" fillId="0" borderId="0" xfId="0" applyFont="1"/>
    <xf numFmtId="0" fontId="59" fillId="0" borderId="0" xfId="0" applyFont="1" applyFill="1"/>
    <xf numFmtId="166" fontId="19" fillId="0" borderId="6" xfId="300" applyNumberFormat="1" applyFont="1" applyFill="1" applyBorder="1" applyAlignment="1">
      <alignment horizontal="right"/>
    </xf>
    <xf numFmtId="164" fontId="85" fillId="0" borderId="0" xfId="0" applyNumberFormat="1" applyFont="1"/>
    <xf numFmtId="0" fontId="91" fillId="0" borderId="0" xfId="299" applyFont="1"/>
    <xf numFmtId="166" fontId="17" fillId="0" borderId="6" xfId="300" applyNumberFormat="1" applyFont="1" applyFill="1" applyBorder="1"/>
    <xf numFmtId="166" fontId="1" fillId="0" borderId="0" xfId="299" applyNumberFormat="1" applyFill="1"/>
    <xf numFmtId="0" fontId="51" fillId="0" borderId="0" xfId="299" applyFont="1" applyAlignment="1">
      <alignment horizontal="left" vertical="center" wrapText="1"/>
    </xf>
    <xf numFmtId="0" fontId="68" fillId="2" borderId="2" xfId="299" applyFont="1" applyFill="1" applyBorder="1" applyAlignment="1">
      <alignment horizontal="center" wrapText="1"/>
    </xf>
    <xf numFmtId="0" fontId="16" fillId="2" borderId="7" xfId="299" applyFont="1" applyFill="1" applyBorder="1" applyAlignment="1">
      <alignment horizontal="center" wrapText="1"/>
    </xf>
    <xf numFmtId="0" fontId="68" fillId="2" borderId="6" xfId="299" applyFont="1" applyFill="1" applyBorder="1" applyAlignment="1">
      <alignment horizontal="center" wrapText="1"/>
    </xf>
    <xf numFmtId="0" fontId="15" fillId="0" borderId="0" xfId="299" applyFont="1" applyFill="1"/>
    <xf numFmtId="0" fontId="1" fillId="0" borderId="0" xfId="299" applyFill="1"/>
    <xf numFmtId="0" fontId="44" fillId="2" borderId="11" xfId="22" applyFont="1" applyFill="1" applyBorder="1" applyAlignment="1">
      <alignment horizontal="center"/>
    </xf>
    <xf numFmtId="0" fontId="44" fillId="2" borderId="11" xfId="22" applyFont="1" applyFill="1" applyBorder="1" applyAlignment="1">
      <alignment horizontal="center" wrapText="1"/>
    </xf>
    <xf numFmtId="0" fontId="44" fillId="2" borderId="7" xfId="22" applyFont="1" applyFill="1" applyBorder="1" applyAlignment="1">
      <alignment horizontal="center"/>
    </xf>
    <xf numFmtId="0" fontId="44" fillId="2" borderId="7" xfId="22" applyFont="1" applyFill="1" applyBorder="1" applyAlignment="1">
      <alignment horizontal="center" wrapText="1"/>
    </xf>
    <xf numFmtId="0" fontId="13" fillId="0" borderId="6" xfId="22" applyFont="1" applyBorder="1"/>
    <xf numFmtId="38" fontId="13" fillId="0" borderId="6" xfId="22" applyNumberFormat="1" applyFont="1" applyBorder="1"/>
    <xf numFmtId="166" fontId="13" fillId="0" borderId="6" xfId="45" applyNumberFormat="1" applyFont="1" applyFill="1" applyBorder="1"/>
    <xf numFmtId="166" fontId="13" fillId="0" borderId="6" xfId="45" applyNumberFormat="1" applyFont="1" applyBorder="1"/>
    <xf numFmtId="166" fontId="44" fillId="0" borderId="6" xfId="45" applyNumberFormat="1" applyFont="1" applyBorder="1"/>
    <xf numFmtId="37" fontId="44" fillId="0" borderId="6" xfId="45" applyNumberFormat="1" applyFont="1" applyBorder="1"/>
    <xf numFmtId="38" fontId="0" fillId="0" borderId="0" xfId="0" applyNumberFormat="1"/>
    <xf numFmtId="0" fontId="13" fillId="0" borderId="6" xfId="22" applyFont="1" applyFill="1" applyBorder="1"/>
    <xf numFmtId="38" fontId="13" fillId="0" borderId="6" xfId="22" applyNumberFormat="1" applyFont="1" applyFill="1" applyBorder="1"/>
    <xf numFmtId="0" fontId="13" fillId="29" borderId="6" xfId="22" applyFont="1" applyFill="1" applyBorder="1"/>
    <xf numFmtId="38" fontId="13" fillId="29" borderId="6" xfId="22" applyNumberFormat="1" applyFont="1" applyFill="1" applyBorder="1"/>
    <xf numFmtId="166" fontId="13" fillId="29" borderId="6" xfId="45" applyNumberFormat="1" applyFont="1" applyFill="1" applyBorder="1"/>
    <xf numFmtId="0" fontId="13" fillId="0" borderId="6" xfId="22" applyFont="1" applyFill="1" applyBorder="1" applyAlignment="1">
      <alignment horizontal="left" vertical="top"/>
    </xf>
    <xf numFmtId="38" fontId="13" fillId="0" borderId="6" xfId="22" applyNumberFormat="1" applyFont="1" applyFill="1" applyBorder="1" applyAlignment="1">
      <alignment horizontal="right" vertical="top"/>
    </xf>
    <xf numFmtId="166" fontId="13" fillId="0" borderId="6" xfId="45" applyNumberFormat="1" applyFont="1" applyFill="1" applyBorder="1" applyAlignment="1">
      <alignment horizontal="right" vertical="top"/>
    </xf>
    <xf numFmtId="0" fontId="44" fillId="0" borderId="6" xfId="22" applyFont="1" applyBorder="1"/>
    <xf numFmtId="38" fontId="44" fillId="0" borderId="6" xfId="22" applyNumberFormat="1" applyFont="1" applyBorder="1"/>
    <xf numFmtId="0" fontId="67" fillId="0" borderId="0" xfId="22" applyFont="1" applyFill="1" applyBorder="1"/>
    <xf numFmtId="38" fontId="13" fillId="0" borderId="0" xfId="22" applyNumberFormat="1" applyFont="1" applyBorder="1"/>
    <xf numFmtId="0" fontId="93" fillId="0" borderId="1" xfId="309" applyFont="1" applyFill="1" applyBorder="1" applyAlignment="1"/>
    <xf numFmtId="0" fontId="93" fillId="0" borderId="1" xfId="309" applyFont="1" applyFill="1" applyBorder="1" applyAlignment="1">
      <alignment horizontal="center"/>
    </xf>
    <xf numFmtId="0" fontId="90" fillId="0" borderId="1" xfId="309" applyFont="1" applyFill="1" applyBorder="1" applyAlignment="1">
      <alignment wrapText="1"/>
    </xf>
    <xf numFmtId="0" fontId="86" fillId="0" borderId="0" xfId="309" applyFont="1" applyFill="1" applyBorder="1" applyAlignment="1">
      <alignment wrapText="1"/>
    </xf>
    <xf numFmtId="0" fontId="60" fillId="39" borderId="23" xfId="309" applyFont="1" applyFill="1" applyBorder="1" applyAlignment="1">
      <alignment horizontal="center"/>
    </xf>
    <xf numFmtId="170" fontId="94" fillId="39" borderId="23" xfId="309" applyNumberFormat="1" applyFont="1" applyFill="1" applyBorder="1" applyAlignment="1">
      <alignment horizontal="center" wrapText="1"/>
    </xf>
    <xf numFmtId="0" fontId="60" fillId="0" borderId="0" xfId="309" applyFont="1" applyFill="1" applyBorder="1"/>
    <xf numFmtId="0" fontId="60" fillId="39" borderId="7" xfId="309" applyFont="1" applyFill="1" applyBorder="1" applyAlignment="1">
      <alignment horizontal="center" vertical="center"/>
    </xf>
    <xf numFmtId="171" fontId="94" fillId="39" borderId="7" xfId="309" applyNumberFormat="1" applyFont="1" applyFill="1" applyBorder="1" applyAlignment="1">
      <alignment horizontal="center" vertical="center" wrapText="1"/>
    </xf>
    <xf numFmtId="0" fontId="95" fillId="0" borderId="6" xfId="309" applyFont="1" applyFill="1" applyBorder="1"/>
    <xf numFmtId="164" fontId="95" fillId="0" borderId="6" xfId="309" applyNumberFormat="1" applyFont="1" applyFill="1" applyBorder="1"/>
    <xf numFmtId="164" fontId="60" fillId="0" borderId="6" xfId="309" applyNumberFormat="1" applyFont="1" applyFill="1" applyBorder="1"/>
    <xf numFmtId="0" fontId="95" fillId="0" borderId="0" xfId="309" applyFont="1" applyFill="1" applyBorder="1"/>
    <xf numFmtId="0" fontId="95" fillId="0" borderId="6" xfId="309" applyFont="1" applyFill="1" applyBorder="1" applyAlignment="1">
      <alignment horizontal="left"/>
    </xf>
    <xf numFmtId="0" fontId="60" fillId="0" borderId="11" xfId="309" applyFont="1" applyFill="1" applyBorder="1"/>
    <xf numFmtId="164" fontId="60" fillId="0" borderId="11" xfId="45" applyNumberFormat="1" applyFont="1" applyFill="1" applyBorder="1"/>
    <xf numFmtId="0" fontId="95" fillId="0" borderId="3" xfId="309" applyFont="1" applyFill="1" applyBorder="1"/>
    <xf numFmtId="0" fontId="60" fillId="0" borderId="3" xfId="309" applyFont="1" applyFill="1" applyBorder="1"/>
    <xf numFmtId="0" fontId="95" fillId="0" borderId="23" xfId="309" applyFont="1" applyFill="1" applyBorder="1"/>
    <xf numFmtId="164" fontId="95" fillId="0" borderId="0" xfId="309" applyNumberFormat="1" applyFont="1" applyFill="1" applyBorder="1"/>
    <xf numFmtId="0" fontId="51" fillId="0" borderId="0" xfId="299" applyFont="1" applyAlignment="1">
      <alignment horizontal="center" vertical="center" wrapText="1"/>
    </xf>
    <xf numFmtId="0" fontId="16" fillId="2" borderId="11" xfId="299" applyFont="1" applyFill="1" applyBorder="1" applyAlignment="1">
      <alignment horizontal="center" wrapText="1"/>
    </xf>
    <xf numFmtId="0" fontId="1" fillId="0" borderId="7" xfId="299" applyBorder="1" applyAlignment="1">
      <alignment horizontal="center" wrapText="1"/>
    </xf>
    <xf numFmtId="0" fontId="68" fillId="2" borderId="8" xfId="299"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1" fillId="0" borderId="0" xfId="299" applyFont="1" applyAlignment="1">
      <alignment horizontal="left" vertical="center" wrapText="1"/>
    </xf>
    <xf numFmtId="0" fontId="68" fillId="2" borderId="8" xfId="299" applyFont="1" applyFill="1" applyBorder="1" applyAlignment="1">
      <alignment horizontal="center" wrapText="1"/>
    </xf>
    <xf numFmtId="0" fontId="68" fillId="2" borderId="9" xfId="299" applyFont="1" applyFill="1" applyBorder="1" applyAlignment="1">
      <alignment horizontal="center" wrapText="1"/>
    </xf>
    <xf numFmtId="0" fontId="52" fillId="0" borderId="0" xfId="299" applyFont="1" applyAlignment="1">
      <alignment horizontal="center" vertical="center" wrapText="1"/>
    </xf>
    <xf numFmtId="0" fontId="15" fillId="0" borderId="0" xfId="299" applyFont="1" applyAlignment="1">
      <alignment horizontal="left" wrapText="1"/>
    </xf>
    <xf numFmtId="0" fontId="17" fillId="0" borderId="0" xfId="0" applyFont="1" applyAlignment="1">
      <alignment horizontal="center" vertical="center" wrapText="1"/>
    </xf>
    <xf numFmtId="0" fontId="19" fillId="0" borderId="0" xfId="0" applyFont="1" applyAlignment="1">
      <alignment horizontal="center" vertical="center" wrapText="1"/>
    </xf>
    <xf numFmtId="0" fontId="65" fillId="32" borderId="11" xfId="0" applyFont="1" applyFill="1" applyBorder="1" applyAlignment="1">
      <alignment horizontal="center" vertical="center" wrapText="1"/>
    </xf>
    <xf numFmtId="0" fontId="0" fillId="32" borderId="23" xfId="0" applyFill="1" applyBorder="1" applyAlignment="1">
      <alignment horizontal="center" vertical="center" wrapText="1"/>
    </xf>
    <xf numFmtId="0" fontId="0" fillId="32" borderId="7" xfId="0" applyFill="1" applyBorder="1" applyAlignment="1">
      <alignment horizontal="center" vertical="center" wrapText="1"/>
    </xf>
    <xf numFmtId="2" fontId="68" fillId="32" borderId="8" xfId="0" applyNumberFormat="1" applyFont="1" applyFill="1" applyBorder="1" applyAlignment="1">
      <alignment horizontal="center" vertical="center" wrapText="1"/>
    </xf>
    <xf numFmtId="0" fontId="77" fillId="32" borderId="9" xfId="0" applyFont="1" applyFill="1" applyBorder="1" applyAlignment="1">
      <alignment horizontal="center" vertical="center" wrapText="1"/>
    </xf>
    <xf numFmtId="0" fontId="77" fillId="32" borderId="10" xfId="0" applyFont="1" applyFill="1" applyBorder="1" applyAlignment="1">
      <alignment horizontal="center" vertical="center" wrapText="1"/>
    </xf>
    <xf numFmtId="0" fontId="82" fillId="0" borderId="0" xfId="0" applyFont="1" applyFill="1" applyAlignment="1">
      <alignment horizontal="center" wrapText="1"/>
    </xf>
    <xf numFmtId="0" fontId="83" fillId="0" borderId="0" xfId="0" applyFont="1" applyFill="1" applyAlignment="1">
      <alignment horizontal="center" vertical="top"/>
    </xf>
    <xf numFmtId="0" fontId="16" fillId="2" borderId="11" xfId="0" applyFont="1" applyFill="1" applyBorder="1" applyAlignment="1">
      <alignment horizontal="center" wrapText="1"/>
    </xf>
    <xf numFmtId="0" fontId="16" fillId="2" borderId="7" xfId="0" applyFont="1" applyFill="1" applyBorder="1" applyAlignment="1">
      <alignment horizontal="center" wrapText="1"/>
    </xf>
    <xf numFmtId="0" fontId="14" fillId="2" borderId="6" xfId="0" applyFont="1" applyFill="1" applyBorder="1" applyAlignment="1">
      <alignment horizontal="center" vertical="center" wrapText="1"/>
    </xf>
    <xf numFmtId="0" fontId="16" fillId="2" borderId="6" xfId="281" applyFont="1" applyFill="1" applyBorder="1" applyAlignment="1">
      <alignment horizontal="center" vertical="center" wrapText="1"/>
    </xf>
    <xf numFmtId="0" fontId="0" fillId="0" borderId="6" xfId="0" applyBorder="1" applyAlignment="1">
      <alignment horizontal="center" vertical="center" wrapText="1"/>
    </xf>
    <xf numFmtId="164" fontId="16" fillId="2" borderId="6" xfId="3" applyNumberFormat="1" applyFont="1" applyFill="1" applyBorder="1" applyAlignment="1">
      <alignment horizontal="center" vertical="center" wrapText="1"/>
    </xf>
    <xf numFmtId="0" fontId="59" fillId="0" borderId="6" xfId="0" applyFont="1" applyBorder="1" applyAlignment="1"/>
    <xf numFmtId="166" fontId="16" fillId="2" borderId="6" xfId="2" applyNumberFormat="1" applyFont="1" applyFill="1" applyBorder="1" applyAlignment="1">
      <alignment horizontal="center" vertical="center" wrapText="1"/>
    </xf>
    <xf numFmtId="166" fontId="16" fillId="2" borderId="6" xfId="0" applyNumberFormat="1" applyFont="1" applyFill="1" applyBorder="1" applyAlignment="1">
      <alignment horizontal="center" vertical="center" wrapText="1"/>
    </xf>
    <xf numFmtId="166" fontId="16" fillId="2" borderId="6" xfId="2" applyNumberFormat="1" applyFont="1" applyFill="1" applyBorder="1" applyAlignment="1">
      <alignment horizontal="center" vertical="center"/>
    </xf>
    <xf numFmtId="166" fontId="16" fillId="2" borderId="8" xfId="2" applyNumberFormat="1" applyFont="1" applyFill="1" applyBorder="1" applyAlignment="1">
      <alignment horizontal="center" vertical="center" wrapText="1"/>
    </xf>
    <xf numFmtId="166" fontId="16" fillId="2" borderId="10" xfId="2" applyNumberFormat="1" applyFont="1" applyFill="1" applyBorder="1" applyAlignment="1">
      <alignment horizontal="center" vertical="center" wrapText="1"/>
    </xf>
    <xf numFmtId="0" fontId="50" fillId="0" borderId="1" xfId="22" applyFont="1" applyBorder="1" applyAlignment="1">
      <alignment horizontal="center" vertical="center" wrapText="1"/>
    </xf>
    <xf numFmtId="0" fontId="11" fillId="2" borderId="8" xfId="22" applyFont="1" applyFill="1" applyBorder="1" applyAlignment="1">
      <alignment horizontal="center" vertical="center" wrapText="1"/>
    </xf>
    <xf numFmtId="0" fontId="11" fillId="2" borderId="9" xfId="22" applyFont="1" applyFill="1" applyBorder="1" applyAlignment="1">
      <alignment horizontal="center" vertical="center" wrapText="1"/>
    </xf>
    <xf numFmtId="0" fontId="11" fillId="2" borderId="10" xfId="22" applyFont="1" applyFill="1" applyBorder="1" applyAlignment="1">
      <alignment horizontal="center" vertical="center" wrapText="1"/>
    </xf>
    <xf numFmtId="0" fontId="63" fillId="0" borderId="0" xfId="22" applyFont="1" applyAlignment="1">
      <alignment horizontal="center"/>
    </xf>
    <xf numFmtId="0" fontId="2" fillId="0" borderId="0" xfId="294" applyAlignment="1">
      <alignment wrapText="1"/>
    </xf>
    <xf numFmtId="0" fontId="0" fillId="0" borderId="41" xfId="0" applyFont="1" applyFill="1" applyBorder="1" applyAlignment="1">
      <alignment horizontal="left" wrapText="1"/>
    </xf>
    <xf numFmtId="0" fontId="0" fillId="0" borderId="0" xfId="0" applyFont="1" applyFill="1" applyBorder="1" applyAlignment="1">
      <alignment horizontal="left" wrapText="1"/>
    </xf>
    <xf numFmtId="0" fontId="0" fillId="0" borderId="42" xfId="0" applyFont="1" applyFill="1" applyBorder="1" applyAlignment="1">
      <alignment horizontal="left" wrapText="1"/>
    </xf>
    <xf numFmtId="166" fontId="16" fillId="2" borderId="11" xfId="2" applyNumberFormat="1" applyFont="1" applyFill="1" applyBorder="1" applyAlignment="1">
      <alignment horizontal="center" vertical="center" wrapText="1"/>
    </xf>
    <xf numFmtId="0" fontId="0" fillId="0" borderId="7" xfId="0" applyBorder="1" applyAlignment="1">
      <alignment horizontal="center" vertical="center" wrapText="1"/>
    </xf>
    <xf numFmtId="0" fontId="16" fillId="2" borderId="6" xfId="0" applyFont="1" applyFill="1" applyBorder="1" applyAlignment="1">
      <alignment horizontal="center" vertical="center" wrapText="1"/>
    </xf>
    <xf numFmtId="164" fontId="11" fillId="2" borderId="9" xfId="3" applyNumberFormat="1" applyFont="1" applyFill="1" applyBorder="1" applyAlignment="1">
      <alignment horizontal="center" vertical="center" wrapText="1"/>
    </xf>
    <xf numFmtId="164" fontId="11" fillId="2" borderId="10" xfId="3" applyNumberFormat="1" applyFont="1" applyFill="1" applyBorder="1" applyAlignment="1">
      <alignment horizontal="center" vertical="center" wrapText="1"/>
    </xf>
    <xf numFmtId="166" fontId="16" fillId="2" borderId="7" xfId="2" applyNumberFormat="1" applyFont="1" applyFill="1" applyBorder="1" applyAlignment="1">
      <alignment horizontal="center" vertical="center" wrapText="1"/>
    </xf>
    <xf numFmtId="0" fontId="11" fillId="2" borderId="8" xfId="0" applyFont="1" applyFill="1" applyBorder="1" applyAlignment="1">
      <alignment horizontal="center" vertical="center" wrapText="1"/>
    </xf>
  </cellXfs>
  <cellStyles count="330">
    <cellStyle name="%" xfId="283"/>
    <cellStyle name="20% - Accent1 2" xfId="48"/>
    <cellStyle name="20% - Accent1 3" xfId="49"/>
    <cellStyle name="20% - Accent1 4" xfId="50"/>
    <cellStyle name="20% - Accent1 5" xfId="51"/>
    <cellStyle name="20% - Accent1 6" xfId="52"/>
    <cellStyle name="20% - Accent1 7" xfId="329"/>
    <cellStyle name="20% - Accent2 2" xfId="53"/>
    <cellStyle name="20% - Accent2 3" xfId="54"/>
    <cellStyle name="20% - Accent2 4" xfId="55"/>
    <cellStyle name="20% - Accent2 5" xfId="56"/>
    <cellStyle name="20% - Accent2 6" xfId="57"/>
    <cellStyle name="20% - Accent3 2" xfId="58"/>
    <cellStyle name="20% - Accent3 3" xfId="59"/>
    <cellStyle name="20% - Accent3 4" xfId="60"/>
    <cellStyle name="20% - Accent3 5" xfId="61"/>
    <cellStyle name="20% - Accent3 6" xfId="62"/>
    <cellStyle name="20% - Accent3 7" xfId="326"/>
    <cellStyle name="20% - Accent4 2" xfId="63"/>
    <cellStyle name="20% - Accent4 3" xfId="64"/>
    <cellStyle name="20% - Accent4 4" xfId="65"/>
    <cellStyle name="20% - Accent4 5" xfId="66"/>
    <cellStyle name="20% - Accent4 6" xfId="67"/>
    <cellStyle name="20% - Accent5 2" xfId="68"/>
    <cellStyle name="20% - Accent5 3" xfId="69"/>
    <cellStyle name="20% - Accent5 4" xfId="70"/>
    <cellStyle name="20% - Accent5 5" xfId="71"/>
    <cellStyle name="20% - Accent5 6" xfId="72"/>
    <cellStyle name="20% - Accent6 2" xfId="73"/>
    <cellStyle name="20% - Accent6 3" xfId="74"/>
    <cellStyle name="20% - Accent6 4" xfId="75"/>
    <cellStyle name="20% - Accent6 5" xfId="76"/>
    <cellStyle name="20% - Accent6 6" xfId="77"/>
    <cellStyle name="20% - Accent6 7" xfId="327"/>
    <cellStyle name="40% - Accent1 2" xfId="78"/>
    <cellStyle name="40% - Accent1 3" xfId="79"/>
    <cellStyle name="40% - Accent1 4" xfId="80"/>
    <cellStyle name="40% - Accent1 5" xfId="81"/>
    <cellStyle name="40% - Accent1 6" xfId="82"/>
    <cellStyle name="40% - Accent2 2" xfId="83"/>
    <cellStyle name="40% - Accent2 3" xfId="84"/>
    <cellStyle name="40% - Accent2 4" xfId="85"/>
    <cellStyle name="40% - Accent2 5" xfId="86"/>
    <cellStyle name="40% - Accent2 6" xfId="87"/>
    <cellStyle name="40% - Accent3 2" xfId="88"/>
    <cellStyle name="40% - Accent3 3" xfId="89"/>
    <cellStyle name="40% - Accent3 4" xfId="90"/>
    <cellStyle name="40% - Accent3 5" xfId="91"/>
    <cellStyle name="40% - Accent3 6" xfId="92"/>
    <cellStyle name="40% - Accent4 2" xfId="93"/>
    <cellStyle name="40% - Accent4 3" xfId="94"/>
    <cellStyle name="40% - Accent4 4" xfId="95"/>
    <cellStyle name="40% - Accent4 5" xfId="96"/>
    <cellStyle name="40% - Accent4 6" xfId="97"/>
    <cellStyle name="40% - Accent5 2" xfId="98"/>
    <cellStyle name="40% - Accent5 3" xfId="99"/>
    <cellStyle name="40% - Accent5 4" xfId="100"/>
    <cellStyle name="40% - Accent5 5" xfId="101"/>
    <cellStyle name="40% - Accent5 6" xfId="102"/>
    <cellStyle name="40% - Accent6 2" xfId="103"/>
    <cellStyle name="40% - Accent6 3" xfId="104"/>
    <cellStyle name="40% - Accent6 4" xfId="105"/>
    <cellStyle name="40% - Accent6 5" xfId="106"/>
    <cellStyle name="40% - Accent6 6" xfId="107"/>
    <cellStyle name="60% - Accent1 2" xfId="108"/>
    <cellStyle name="60% - Accent1 3" xfId="109"/>
    <cellStyle name="60% - Accent1 4" xfId="110"/>
    <cellStyle name="60% - Accent1 5" xfId="111"/>
    <cellStyle name="60% - Accent1 6" xfId="112"/>
    <cellStyle name="60% - Accent2 2" xfId="113"/>
    <cellStyle name="60% - Accent2 3" xfId="114"/>
    <cellStyle name="60% - Accent2 4" xfId="115"/>
    <cellStyle name="60% - Accent2 5" xfId="116"/>
    <cellStyle name="60% - Accent2 6" xfId="117"/>
    <cellStyle name="60% - Accent3 2" xfId="118"/>
    <cellStyle name="60% - Accent3 3" xfId="119"/>
    <cellStyle name="60% - Accent3 4" xfId="120"/>
    <cellStyle name="60% - Accent3 5" xfId="121"/>
    <cellStyle name="60% - Accent3 6" xfId="122"/>
    <cellStyle name="60% - Accent4 2" xfId="123"/>
    <cellStyle name="60% - Accent4 3" xfId="124"/>
    <cellStyle name="60% - Accent4 4" xfId="125"/>
    <cellStyle name="60% - Accent4 5" xfId="126"/>
    <cellStyle name="60% - Accent4 6" xfId="127"/>
    <cellStyle name="60% - Accent5 2" xfId="128"/>
    <cellStyle name="60% - Accent5 3" xfId="129"/>
    <cellStyle name="60% - Accent5 4" xfId="130"/>
    <cellStyle name="60% - Accent5 5" xfId="131"/>
    <cellStyle name="60% - Accent5 6" xfId="132"/>
    <cellStyle name="60% - Accent6 2" xfId="133"/>
    <cellStyle name="60% - Accent6 3" xfId="134"/>
    <cellStyle name="60% - Accent6 4" xfId="135"/>
    <cellStyle name="60% - Accent6 5" xfId="136"/>
    <cellStyle name="60% - Accent6 6" xfId="137"/>
    <cellStyle name="Accent1 2" xfId="138"/>
    <cellStyle name="Accent1 3" xfId="139"/>
    <cellStyle name="Accent1 4" xfId="140"/>
    <cellStyle name="Accent1 5" xfId="141"/>
    <cellStyle name="Accent1 6" xfId="142"/>
    <cellStyle name="Accent2 2" xfId="143"/>
    <cellStyle name="Accent2 3" xfId="144"/>
    <cellStyle name="Accent2 4" xfId="145"/>
    <cellStyle name="Accent2 5" xfId="146"/>
    <cellStyle name="Accent2 6" xfId="147"/>
    <cellStyle name="Accent3 2" xfId="148"/>
    <cellStyle name="Accent3 3" xfId="149"/>
    <cellStyle name="Accent3 4" xfId="150"/>
    <cellStyle name="Accent3 5" xfId="151"/>
    <cellStyle name="Accent3 6" xfId="152"/>
    <cellStyle name="Accent4 2" xfId="153"/>
    <cellStyle name="Accent4 3" xfId="154"/>
    <cellStyle name="Accent4 4" xfId="155"/>
    <cellStyle name="Accent4 5" xfId="156"/>
    <cellStyle name="Accent4 6" xfId="157"/>
    <cellStyle name="Accent5 2" xfId="158"/>
    <cellStyle name="Accent5 3" xfId="159"/>
    <cellStyle name="Accent5 4" xfId="160"/>
    <cellStyle name="Accent5 5" xfId="161"/>
    <cellStyle name="Accent5 6" xfId="162"/>
    <cellStyle name="Accent6 2" xfId="163"/>
    <cellStyle name="Accent6 3" xfId="164"/>
    <cellStyle name="Accent6 4" xfId="165"/>
    <cellStyle name="Accent6 5" xfId="166"/>
    <cellStyle name="Accent6 6" xfId="167"/>
    <cellStyle name="Bad 2" xfId="168"/>
    <cellStyle name="Bad 3" xfId="169"/>
    <cellStyle name="Bad 4" xfId="170"/>
    <cellStyle name="Bad 5" xfId="171"/>
    <cellStyle name="Bad 6" xfId="172"/>
    <cellStyle name="Calculation 2" xfId="173"/>
    <cellStyle name="Calculation 3" xfId="174"/>
    <cellStyle name="Calculation 4" xfId="175"/>
    <cellStyle name="Calculation 5" xfId="176"/>
    <cellStyle name="Calculation 6" xfId="177"/>
    <cellStyle name="Check Cell 2" xfId="178"/>
    <cellStyle name="Check Cell 3" xfId="179"/>
    <cellStyle name="Check Cell 4" xfId="180"/>
    <cellStyle name="Check Cell 5" xfId="181"/>
    <cellStyle name="Check Cell 6" xfId="182"/>
    <cellStyle name="Comma" xfId="2" builtinId="3"/>
    <cellStyle name="Comma 10" xfId="284"/>
    <cellStyle name="Comma 11" xfId="295"/>
    <cellStyle name="Comma 12" xfId="319"/>
    <cellStyle name="Comma 2" xfId="7"/>
    <cellStyle name="Comma 2 2" xfId="45"/>
    <cellStyle name="Comma 2 3" xfId="183"/>
    <cellStyle name="Comma 2 3 2" xfId="301"/>
    <cellStyle name="Comma 2 4" xfId="184"/>
    <cellStyle name="Comma 2 5" xfId="282"/>
    <cellStyle name="Comma 2 5 2" xfId="292"/>
    <cellStyle name="Comma 2 5 2 2" xfId="302"/>
    <cellStyle name="Comma 2 5 3" xfId="298"/>
    <cellStyle name="Comma 2 5 4" xfId="318"/>
    <cellStyle name="Comma 2 6" xfId="286"/>
    <cellStyle name="Comma 2 6 2" xfId="288"/>
    <cellStyle name="Comma 2 6 2 2" xfId="300"/>
    <cellStyle name="Comma 2 7" xfId="303"/>
    <cellStyle name="Comma 3" xfId="8"/>
    <cellStyle name="Comma 3 2" xfId="46"/>
    <cellStyle name="Comma 3 3" xfId="304"/>
    <cellStyle name="Comma 37" xfId="293"/>
    <cellStyle name="Comma 4" xfId="9"/>
    <cellStyle name="Comma 4 2" xfId="185"/>
    <cellStyle name="Comma 4 3" xfId="305"/>
    <cellStyle name="Comma 5" xfId="10"/>
    <cellStyle name="Comma 5 2" xfId="186"/>
    <cellStyle name="Comma 5 3" xfId="187"/>
    <cellStyle name="Comma 6" xfId="188"/>
    <cellStyle name="Comma 7" xfId="189"/>
    <cellStyle name="Comma 8" xfId="190"/>
    <cellStyle name="Comma 9" xfId="47"/>
    <cellStyle name="Comma0" xfId="191"/>
    <cellStyle name="Currency" xfId="3" builtinId="4"/>
    <cellStyle name="Currency 2" xfId="11"/>
    <cellStyle name="Currency 2 2" xfId="306"/>
    <cellStyle name="Currency 3" xfId="192"/>
    <cellStyle name="Currency 3 2" xfId="193"/>
    <cellStyle name="Currency 4" xfId="290"/>
    <cellStyle name="Currency 4 2" xfId="307"/>
    <cellStyle name="Currency 5" xfId="296"/>
    <cellStyle name="Explanatory Text 2" xfId="194"/>
    <cellStyle name="Explanatory Text 3" xfId="195"/>
    <cellStyle name="Explanatory Text 4" xfId="196"/>
    <cellStyle name="Explanatory Text 5" xfId="197"/>
    <cellStyle name="Explanatory Text 6" xfId="198"/>
    <cellStyle name="Good 2" xfId="199"/>
    <cellStyle name="Good 3" xfId="200"/>
    <cellStyle name="Good 4" xfId="201"/>
    <cellStyle name="Good 5" xfId="202"/>
    <cellStyle name="Good 6" xfId="203"/>
    <cellStyle name="Heading 1 2" xfId="204"/>
    <cellStyle name="Heading 1 3" xfId="205"/>
    <cellStyle name="Heading 1 4" xfId="206"/>
    <cellStyle name="Heading 1 5" xfId="207"/>
    <cellStyle name="Heading 1 6" xfId="208"/>
    <cellStyle name="Heading 2 2" xfId="209"/>
    <cellStyle name="Heading 2 3" xfId="210"/>
    <cellStyle name="Heading 2 4" xfId="211"/>
    <cellStyle name="Heading 2 5" xfId="212"/>
    <cellStyle name="Heading 2 6" xfId="213"/>
    <cellStyle name="Heading 3 2" xfId="214"/>
    <cellStyle name="Heading 3 3" xfId="215"/>
    <cellStyle name="Heading 3 4" xfId="216"/>
    <cellStyle name="Heading 3 5" xfId="217"/>
    <cellStyle name="Heading 3 6" xfId="218"/>
    <cellStyle name="Heading 4 2" xfId="219"/>
    <cellStyle name="Heading 4 3" xfId="220"/>
    <cellStyle name="Heading 4 4" xfId="221"/>
    <cellStyle name="Heading 4 5" xfId="222"/>
    <cellStyle name="Heading 4 6" xfId="223"/>
    <cellStyle name="Input 2" xfId="224"/>
    <cellStyle name="Input 3" xfId="225"/>
    <cellStyle name="Input 4" xfId="226"/>
    <cellStyle name="Input 5" xfId="227"/>
    <cellStyle name="Input 6" xfId="228"/>
    <cellStyle name="Linked Cell 2" xfId="229"/>
    <cellStyle name="Linked Cell 3" xfId="230"/>
    <cellStyle name="Linked Cell 4" xfId="231"/>
    <cellStyle name="Linked Cell 5" xfId="232"/>
    <cellStyle name="Linked Cell 6" xfId="233"/>
    <cellStyle name="Neutral 2" xfId="234"/>
    <cellStyle name="Neutral 3" xfId="235"/>
    <cellStyle name="Neutral 4" xfId="236"/>
    <cellStyle name="Neutral 5" xfId="237"/>
    <cellStyle name="Neutral 6" xfId="238"/>
    <cellStyle name="Normal" xfId="0" builtinId="0"/>
    <cellStyle name="Normal 10" xfId="12"/>
    <cellStyle name="Normal 10 2" xfId="308"/>
    <cellStyle name="Normal 11" xfId="13"/>
    <cellStyle name="Normal 11 2" xfId="309"/>
    <cellStyle name="Normal 12" xfId="14"/>
    <cellStyle name="Normal 12 2" xfId="310"/>
    <cellStyle name="Normal 13" xfId="15"/>
    <cellStyle name="Normal 14" xfId="16"/>
    <cellStyle name="Normal 15" xfId="17"/>
    <cellStyle name="Normal 16" xfId="18"/>
    <cellStyle name="Normal 17" xfId="19"/>
    <cellStyle name="Normal 18" xfId="20"/>
    <cellStyle name="Normal 19" xfId="21"/>
    <cellStyle name="Normal 2" xfId="6"/>
    <cellStyle name="Normal 2 2" xfId="22"/>
    <cellStyle name="Normal 2 2 2" xfId="311"/>
    <cellStyle name="Normal 2 3" xfId="239"/>
    <cellStyle name="Normal 2 4" xfId="240"/>
    <cellStyle name="Normal 2 4 2" xfId="320"/>
    <cellStyle name="Normal 2 5" xfId="281"/>
    <cellStyle name="Normal 2 5 2" xfId="291"/>
    <cellStyle name="Normal 2 5 3" xfId="297"/>
    <cellStyle name="Normal 2 6" xfId="285"/>
    <cellStyle name="Normal 2 6 2" xfId="287"/>
    <cellStyle name="Normal 2 6 2 2" xfId="299"/>
    <cellStyle name="Normal 2 7" xfId="312"/>
    <cellStyle name="Normal 2 8" xfId="328"/>
    <cellStyle name="Normal 20" xfId="23"/>
    <cellStyle name="Normal 21" xfId="24"/>
    <cellStyle name="Normal 22" xfId="25"/>
    <cellStyle name="Normal 23" xfId="26"/>
    <cellStyle name="Normal 24" xfId="27"/>
    <cellStyle name="Normal 25" xfId="28"/>
    <cellStyle name="Normal 26" xfId="29"/>
    <cellStyle name="Normal 27" xfId="30"/>
    <cellStyle name="Normal 28" xfId="31"/>
    <cellStyle name="Normal 29" xfId="32"/>
    <cellStyle name="Normal 3" xfId="5"/>
    <cellStyle name="Normal 3 2" xfId="241"/>
    <cellStyle name="Normal 3 3" xfId="242"/>
    <cellStyle name="Normal 3 4" xfId="243"/>
    <cellStyle name="Normal 3 5" xfId="313"/>
    <cellStyle name="Normal 30" xfId="33"/>
    <cellStyle name="Normal 31" xfId="34"/>
    <cellStyle name="Normal 32" xfId="35"/>
    <cellStyle name="Normal 33" xfId="36"/>
    <cellStyle name="Normal 34" xfId="37"/>
    <cellStyle name="Normal 35" xfId="294"/>
    <cellStyle name="Normal 36" xfId="321"/>
    <cellStyle name="Normal 37" xfId="322"/>
    <cellStyle name="Normal 38" xfId="323"/>
    <cellStyle name="Normal 39" xfId="324"/>
    <cellStyle name="Normal 4" xfId="4"/>
    <cellStyle name="Normal 4 2" xfId="244"/>
    <cellStyle name="Normal 4_STCIMF TCTF Handout v3" xfId="245"/>
    <cellStyle name="Normal 5" xfId="38"/>
    <cellStyle name="Normal 6" xfId="39"/>
    <cellStyle name="Normal 7" xfId="40"/>
    <cellStyle name="Normal 7 2" xfId="246"/>
    <cellStyle name="Normal 8" xfId="41"/>
    <cellStyle name="Normal 8 2" xfId="247"/>
    <cellStyle name="Normal 9" xfId="42"/>
    <cellStyle name="Note 2" xfId="248"/>
    <cellStyle name="Note 3" xfId="249"/>
    <cellStyle name="Note 4" xfId="250"/>
    <cellStyle name="Note 5" xfId="251"/>
    <cellStyle name="Note 6" xfId="252"/>
    <cellStyle name="Output 2" xfId="253"/>
    <cellStyle name="Output 3" xfId="254"/>
    <cellStyle name="Output 4" xfId="255"/>
    <cellStyle name="Output 5" xfId="256"/>
    <cellStyle name="Output 6" xfId="257"/>
    <cellStyle name="Output Amounts" xfId="258"/>
    <cellStyle name="Output Column Headings" xfId="259"/>
    <cellStyle name="Output Line Items" xfId="260"/>
    <cellStyle name="Output Report Heading" xfId="261"/>
    <cellStyle name="Output Report Title" xfId="262"/>
    <cellStyle name="Percent" xfId="1" builtinId="5"/>
    <cellStyle name="Percent 2" xfId="43"/>
    <cellStyle name="Percent 2 2" xfId="263"/>
    <cellStyle name="Percent 2 3" xfId="264"/>
    <cellStyle name="Percent 2 4" xfId="289"/>
    <cellStyle name="Percent 3" xfId="44"/>
    <cellStyle name="Percent 3 2" xfId="314"/>
    <cellStyle name="Percent 4" xfId="265"/>
    <cellStyle name="Percent 4 2" xfId="315"/>
    <cellStyle name="Percent 5" xfId="316"/>
    <cellStyle name="Percent 6" xfId="317"/>
    <cellStyle name="Percent 7" xfId="325"/>
    <cellStyle name="Title 2" xfId="266"/>
    <cellStyle name="Title 3" xfId="267"/>
    <cellStyle name="Title 4" xfId="268"/>
    <cellStyle name="Title 5" xfId="269"/>
    <cellStyle name="Title 6" xfId="270"/>
    <cellStyle name="Total 2" xfId="271"/>
    <cellStyle name="Total 3" xfId="272"/>
    <cellStyle name="Total 4" xfId="273"/>
    <cellStyle name="Total 5" xfId="274"/>
    <cellStyle name="Total 6" xfId="275"/>
    <cellStyle name="Warning Text 2" xfId="276"/>
    <cellStyle name="Warning Text 3" xfId="277"/>
    <cellStyle name="Warning Text 4" xfId="278"/>
    <cellStyle name="Warning Text 5" xfId="279"/>
    <cellStyle name="Warning Text 6" xfId="280"/>
  </cellStyles>
  <dxfs count="3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B050"/>
      </font>
      <fill>
        <patternFill>
          <bgColor rgb="FFCCFFCC"/>
        </patternFill>
      </fill>
    </dxf>
    <dxf>
      <font>
        <color rgb="FF00B050"/>
      </font>
      <fill>
        <patternFill>
          <bgColor rgb="FFCCFFC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APPS\Hysoft\Finance\Bud0203\Hyperion%20reports\QFR%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Simpson\Application%20Data\Microsoft\Excel\1%25%20cap%20reduction\1%25%20calculation%20for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Finance\BUDGET\Users\Peralta\TC-145\TC-145-2009-01-Final-unprotected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OP/OCR/Research%20&amp;%20Analysis/Workload/Staff/RAS%20Model%20Updates/Reassess%20model%20parameters/Finance%20dollar%20conversion/RAS%20I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e/BUDGET/Users/Simpson/Revenue/FY%202013-14%20TCTF%20Projections/2013TCTF%20Revenue%20Projection_06DecColl%20201402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nance/BUDGET/BDTSU/Annual%20Report%20to%20Legislature/FY%202008-09/Allocation%20Report/KP-AllocationsReimb-MOD-FY2008-Nov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nance/BUDGET/Users/Simpson/Funding%20Models/5%20year%20Special%20Funds%20funding%20detai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Finance\BUDGET\BDTSU\Revenue\10Rs\TCTF\FY%2009-10\TCTF%20May%20Revise%20Final_04230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jleibowitz\Local%20Settings\Temporary%20Internet%20Files\OLK178\TC-145%20effective%20Jan%201%2009_JLP%20010709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QFR Quarter by Quarter"/>
      <sheetName val="QFR Year by Year"/>
      <sheetName val="QFR Report Year to Year"/>
      <sheetName val="QFR by court and accounts"/>
      <sheetName val="State vs. Total Revenue"/>
      <sheetName val="QFR by Account, court, quarters"/>
      <sheetName val="Judges S&amp;B"/>
      <sheetName val="QFR Interpreters by court"/>
      <sheetName val="QFR Indirect Costs by court "/>
      <sheetName val="QFR Total Exp by court"/>
      <sheetName val="Security"/>
      <sheetName val="Salaries &amp; Benefits"/>
      <sheetName val="Benefit by court "/>
      <sheetName val="Salaries by court"/>
      <sheetName val="Salaries &amp; Benefit by cour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1% Calculation"/>
      <sheetName val="B1- Restricted Rev Detail"/>
      <sheetName val="B2 - Restricted Rev Description"/>
      <sheetName val="1% Calc Sample other"/>
      <sheetName val="Combo Box"/>
    </sheetNames>
    <sheetDataSet>
      <sheetData sheetId="0" refreshError="1"/>
      <sheetData sheetId="1">
        <row r="33">
          <cell r="D33">
            <v>0</v>
          </cell>
        </row>
      </sheetData>
      <sheetData sheetId="2" refreshError="1"/>
      <sheetData sheetId="3" refreshError="1"/>
      <sheetData sheetId="4">
        <row r="2">
          <cell r="A2" t="str">
            <v>General Fund -- TCTF</v>
          </cell>
          <cell r="B2" t="str">
            <v>Please select your court from the list</v>
          </cell>
          <cell r="C2" t="str">
            <v>Please select the fiscal year from the list</v>
          </cell>
          <cell r="D2" t="str">
            <v>B&amp;P 470.5</v>
          </cell>
        </row>
        <row r="3">
          <cell r="A3" t="str">
            <v>General Fund -- Non-TCTF</v>
          </cell>
          <cell r="B3" t="str">
            <v>Superior Court - Alameda</v>
          </cell>
          <cell r="C3" t="str">
            <v>as of June 30, 2014</v>
          </cell>
          <cell r="D3" t="str">
            <v>CCP 116.230</v>
          </cell>
        </row>
        <row r="4">
          <cell r="A4" t="str">
            <v>Special Revenue Non-Grant</v>
          </cell>
          <cell r="B4" t="str">
            <v>Superior Court - Alpine</v>
          </cell>
          <cell r="C4" t="str">
            <v>as of June 30, 2015</v>
          </cell>
          <cell r="D4" t="str">
            <v>GC 13963(f)</v>
          </cell>
        </row>
        <row r="5">
          <cell r="A5" t="str">
            <v>Capital Project</v>
          </cell>
          <cell r="B5" t="str">
            <v>Superior Court - Amador</v>
          </cell>
          <cell r="C5" t="str">
            <v>as of June 30, 2016</v>
          </cell>
          <cell r="D5" t="str">
            <v>GC 26731</v>
          </cell>
        </row>
        <row r="6">
          <cell r="B6" t="str">
            <v>Superior Court - Butte</v>
          </cell>
          <cell r="C6" t="str">
            <v>as of June 30, 2017</v>
          </cell>
          <cell r="D6" t="str">
            <v>GC 26863</v>
          </cell>
        </row>
        <row r="7">
          <cell r="B7" t="str">
            <v>Superior Court - Calaveras</v>
          </cell>
          <cell r="C7" t="str">
            <v>as of June 30, 2018</v>
          </cell>
          <cell r="D7" t="str">
            <v>GC 27361.4</v>
          </cell>
        </row>
        <row r="8">
          <cell r="B8" t="str">
            <v>Superior Court - Colusa</v>
          </cell>
          <cell r="C8" t="str">
            <v>as of June 30, 2019</v>
          </cell>
          <cell r="D8" t="str">
            <v>GC 66006</v>
          </cell>
        </row>
        <row r="9">
          <cell r="B9" t="str">
            <v>Superior Court - Contra Costa</v>
          </cell>
          <cell r="C9" t="str">
            <v>as of June 30, 2020</v>
          </cell>
          <cell r="D9" t="str">
            <v>GC 68090.8</v>
          </cell>
        </row>
        <row r="10">
          <cell r="B10" t="str">
            <v>Superior Court - Del Norte</v>
          </cell>
          <cell r="D10" t="str">
            <v>GC 70640</v>
          </cell>
        </row>
        <row r="11">
          <cell r="B11" t="str">
            <v>Superior Court - El Dorado</v>
          </cell>
          <cell r="D11" t="str">
            <v>GC 70678</v>
          </cell>
        </row>
        <row r="12">
          <cell r="B12" t="str">
            <v>Superior Court - Fresno</v>
          </cell>
          <cell r="D12" t="str">
            <v>GC 76223</v>
          </cell>
        </row>
        <row r="13">
          <cell r="B13" t="str">
            <v>Superior Court - Glenn</v>
          </cell>
          <cell r="D13" t="str">
            <v>GC 77207.5(b)</v>
          </cell>
        </row>
        <row r="14">
          <cell r="B14" t="str">
            <v>Superior Court - Humboldt</v>
          </cell>
          <cell r="D14" t="str">
            <v>GC 77209(h)</v>
          </cell>
        </row>
        <row r="15">
          <cell r="B15" t="str">
            <v>Superior Court - Imperial</v>
          </cell>
          <cell r="D15" t="str">
            <v>Penal Code 1027</v>
          </cell>
        </row>
        <row r="16">
          <cell r="B16" t="str">
            <v>Superior Court - Inyo</v>
          </cell>
          <cell r="D16" t="str">
            <v>Penal Code 1463.007</v>
          </cell>
        </row>
        <row r="17">
          <cell r="B17" t="str">
            <v>Superior Court - Kern</v>
          </cell>
          <cell r="D17" t="str">
            <v>Penal Code 1463.22(a)</v>
          </cell>
        </row>
        <row r="18">
          <cell r="B18" t="str">
            <v>Superior Court - Kings</v>
          </cell>
          <cell r="D18" t="str">
            <v>Penal Code 4750</v>
          </cell>
        </row>
        <row r="19">
          <cell r="B19" t="str">
            <v>Superior Court - Lake</v>
          </cell>
          <cell r="D19" t="str">
            <v>Penal Code 6005</v>
          </cell>
        </row>
        <row r="20">
          <cell r="B20" t="str">
            <v>Superior Court - Lassen</v>
          </cell>
          <cell r="D20" t="str">
            <v>VC 11205.2</v>
          </cell>
        </row>
        <row r="21">
          <cell r="B21" t="str">
            <v>Superior Court - Los Angeles</v>
          </cell>
          <cell r="D21" t="str">
            <v>VC 40508.6</v>
          </cell>
        </row>
        <row r="22">
          <cell r="B22" t="str">
            <v>Superior Court - Madera</v>
          </cell>
        </row>
        <row r="23">
          <cell r="B23" t="str">
            <v>Superior Court - Marin</v>
          </cell>
        </row>
        <row r="24">
          <cell r="B24" t="str">
            <v>Superior Court - Mariposa</v>
          </cell>
        </row>
        <row r="25">
          <cell r="B25" t="str">
            <v>Superior Court - Mendocino</v>
          </cell>
        </row>
        <row r="26">
          <cell r="B26" t="str">
            <v>Superior Court - Merced</v>
          </cell>
        </row>
        <row r="27">
          <cell r="B27" t="str">
            <v>Superior Court - Modoc</v>
          </cell>
        </row>
        <row r="28">
          <cell r="B28" t="str">
            <v>Superior Court - Mono</v>
          </cell>
        </row>
        <row r="29">
          <cell r="B29" t="str">
            <v>Superior Court - Monterey</v>
          </cell>
        </row>
        <row r="30">
          <cell r="B30" t="str">
            <v>Superior Court - Napa</v>
          </cell>
        </row>
        <row r="31">
          <cell r="B31" t="str">
            <v>Superior Court - Nevada</v>
          </cell>
        </row>
        <row r="32">
          <cell r="B32" t="str">
            <v>Superior Court - Orange</v>
          </cell>
        </row>
        <row r="33">
          <cell r="B33" t="str">
            <v>Superior Court - Placer</v>
          </cell>
        </row>
        <row r="34">
          <cell r="B34" t="str">
            <v>Superior Court - Plumas</v>
          </cell>
        </row>
        <row r="35">
          <cell r="B35" t="str">
            <v>Superior Court - Riverside</v>
          </cell>
        </row>
        <row r="36">
          <cell r="B36" t="str">
            <v>Superior Court - Sacramento</v>
          </cell>
        </row>
        <row r="37">
          <cell r="B37" t="str">
            <v>Superior Court - San Benito</v>
          </cell>
        </row>
        <row r="38">
          <cell r="B38" t="str">
            <v>Superior Court - San Bernardino</v>
          </cell>
        </row>
        <row r="39">
          <cell r="B39" t="str">
            <v>Superior Court - San Diego</v>
          </cell>
        </row>
        <row r="40">
          <cell r="B40" t="str">
            <v>Superior Court - San Francisco</v>
          </cell>
        </row>
        <row r="41">
          <cell r="B41" t="str">
            <v>Superior Court - San Joaquin</v>
          </cell>
        </row>
        <row r="42">
          <cell r="B42" t="str">
            <v>Superior Court - San Luis Obispo</v>
          </cell>
        </row>
        <row r="43">
          <cell r="B43" t="str">
            <v>Superior Court - San Mateo</v>
          </cell>
        </row>
        <row r="44">
          <cell r="B44" t="str">
            <v>Superior Court - Santa Barbara</v>
          </cell>
        </row>
        <row r="45">
          <cell r="B45" t="str">
            <v>Superior Court - Santa Clara</v>
          </cell>
        </row>
        <row r="46">
          <cell r="B46" t="str">
            <v>Superior Court - Santa Cruz</v>
          </cell>
        </row>
        <row r="47">
          <cell r="B47" t="str">
            <v>Superior Court - Shasta</v>
          </cell>
        </row>
        <row r="48">
          <cell r="B48" t="str">
            <v>Superior Court - Sierra</v>
          </cell>
        </row>
        <row r="49">
          <cell r="B49" t="str">
            <v>Superior Court - Siskiyou</v>
          </cell>
        </row>
        <row r="50">
          <cell r="B50" t="str">
            <v>Superior Court - Solano</v>
          </cell>
        </row>
        <row r="51">
          <cell r="B51" t="str">
            <v>Superior Court - Sonoma</v>
          </cell>
        </row>
        <row r="52">
          <cell r="B52" t="str">
            <v>Superior Court - Stanislaus</v>
          </cell>
        </row>
        <row r="53">
          <cell r="B53" t="str">
            <v>Superior Court - Sutter</v>
          </cell>
        </row>
        <row r="54">
          <cell r="B54" t="str">
            <v>Superior Court - Tehama</v>
          </cell>
        </row>
        <row r="55">
          <cell r="B55" t="str">
            <v>Superior Court - Trinity</v>
          </cell>
        </row>
        <row r="56">
          <cell r="B56" t="str">
            <v>Superior Court - Tulare</v>
          </cell>
        </row>
        <row r="57">
          <cell r="B57" t="str">
            <v>Superior Court - Tuolumne</v>
          </cell>
        </row>
        <row r="58">
          <cell r="B58" t="str">
            <v>Superior Court - Ventura</v>
          </cell>
        </row>
        <row r="59">
          <cell r="B59" t="str">
            <v>Superior Court - Yolo</v>
          </cell>
        </row>
        <row r="60">
          <cell r="B60" t="str">
            <v>Superior Court - Yuba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Schedule D Instructions"/>
      <sheetName val="Schedule D"/>
      <sheetName val="Schedule F Instructions"/>
      <sheetName val="Schedule F"/>
      <sheetName val="Certification"/>
      <sheetName val="Code"/>
    </sheetNames>
    <sheetDataSet>
      <sheetData sheetId="0"/>
      <sheetData sheetId="1"/>
      <sheetData sheetId="2"/>
      <sheetData sheetId="3">
        <row r="7">
          <cell r="A7">
            <v>1</v>
          </cell>
        </row>
      </sheetData>
      <sheetData sheetId="4"/>
      <sheetData sheetId="5"/>
      <sheetData sheetId="6"/>
      <sheetData sheetId="7"/>
      <sheetData sheetId="8"/>
      <sheetData sheetId="9">
        <row r="1">
          <cell r="B1" t="str">
            <v>PICK YOUR COURT FROM THIS LIST</v>
          </cell>
        </row>
        <row r="2">
          <cell r="B2" t="str">
            <v>Superior Court - Alameda</v>
          </cell>
        </row>
        <row r="3">
          <cell r="B3" t="str">
            <v>Superior Court - Alpine</v>
          </cell>
        </row>
        <row r="4">
          <cell r="B4" t="str">
            <v>Superior Court - Amador</v>
          </cell>
        </row>
        <row r="5">
          <cell r="B5" t="str">
            <v>Superior Court - Butte</v>
          </cell>
        </row>
        <row r="6">
          <cell r="B6" t="str">
            <v>Superior Court - Calaveras</v>
          </cell>
        </row>
        <row r="7">
          <cell r="B7" t="str">
            <v>Superior Court - Colusa</v>
          </cell>
        </row>
        <row r="8">
          <cell r="B8" t="str">
            <v>Superior Court - Contra Costa</v>
          </cell>
        </row>
        <row r="9">
          <cell r="B9" t="str">
            <v>Superior Court - Del Norte</v>
          </cell>
        </row>
        <row r="10">
          <cell r="B10" t="str">
            <v>Superior Court - El Dorado</v>
          </cell>
        </row>
        <row r="11">
          <cell r="B11" t="str">
            <v>Superior Court - Fresno</v>
          </cell>
        </row>
        <row r="12">
          <cell r="B12" t="str">
            <v>Superior Court - Glenn</v>
          </cell>
        </row>
        <row r="13">
          <cell r="B13" t="str">
            <v>Superior Court - Humboldt</v>
          </cell>
        </row>
        <row r="14">
          <cell r="B14" t="str">
            <v>Superior Court - Imperial</v>
          </cell>
        </row>
        <row r="15">
          <cell r="B15" t="str">
            <v>Superior Court - Inyo</v>
          </cell>
        </row>
        <row r="16">
          <cell r="B16" t="str">
            <v>Superior Court - Kern</v>
          </cell>
        </row>
        <row r="17">
          <cell r="B17" t="str">
            <v>Superior Court - Kings</v>
          </cell>
        </row>
        <row r="18">
          <cell r="B18" t="str">
            <v>Superior Court - Lake</v>
          </cell>
        </row>
        <row r="19">
          <cell r="B19" t="str">
            <v>Superior Court - Lassen</v>
          </cell>
        </row>
        <row r="20">
          <cell r="B20" t="str">
            <v>Superior Court - Los Angeles</v>
          </cell>
        </row>
        <row r="21">
          <cell r="B21" t="str">
            <v>Superior Court - Madera</v>
          </cell>
        </row>
        <row r="22">
          <cell r="B22" t="str">
            <v>Superior Court - Marin</v>
          </cell>
        </row>
        <row r="23">
          <cell r="B23" t="str">
            <v>Superior Court - Mariposa</v>
          </cell>
        </row>
        <row r="24">
          <cell r="B24" t="str">
            <v>Superior Court - Mendocino</v>
          </cell>
        </row>
        <row r="25">
          <cell r="B25" t="str">
            <v>Superior Court - Merced</v>
          </cell>
        </row>
        <row r="26">
          <cell r="B26" t="str">
            <v>Superior Court - Modoc</v>
          </cell>
        </row>
        <row r="27">
          <cell r="B27" t="str">
            <v>Superior Court - Mono</v>
          </cell>
        </row>
        <row r="28">
          <cell r="B28" t="str">
            <v>Superior Court - Monterey</v>
          </cell>
        </row>
        <row r="29">
          <cell r="B29" t="str">
            <v>Superior Court - Napa</v>
          </cell>
        </row>
        <row r="30">
          <cell r="B30" t="str">
            <v>Superior Court - Nevada</v>
          </cell>
        </row>
        <row r="31">
          <cell r="B31" t="str">
            <v>Superior Court - Orange</v>
          </cell>
        </row>
        <row r="32">
          <cell r="B32" t="str">
            <v>Superior Court - Placer</v>
          </cell>
        </row>
        <row r="33">
          <cell r="B33" t="str">
            <v>Superior Court - Plumas</v>
          </cell>
        </row>
        <row r="34">
          <cell r="B34" t="str">
            <v>Superior Court - Riverside</v>
          </cell>
        </row>
        <row r="35">
          <cell r="B35" t="str">
            <v>Superior Court - Sacramento</v>
          </cell>
        </row>
        <row r="36">
          <cell r="B36" t="str">
            <v>Superior Court - San Benito</v>
          </cell>
        </row>
        <row r="37">
          <cell r="B37" t="str">
            <v>Superior Court - San Bernardino</v>
          </cell>
        </row>
        <row r="38">
          <cell r="B38" t="str">
            <v>Superior Court - San Diego</v>
          </cell>
        </row>
        <row r="39">
          <cell r="B39" t="str">
            <v>Superior Court - San Francisco</v>
          </cell>
        </row>
        <row r="40">
          <cell r="B40" t="str">
            <v>Superior Court - San Joaquin</v>
          </cell>
        </row>
        <row r="41">
          <cell r="B41" t="str">
            <v>Superior Court - San Luis Obispo</v>
          </cell>
        </row>
        <row r="42">
          <cell r="B42" t="str">
            <v>Superior Court - San Mateo</v>
          </cell>
        </row>
        <row r="43">
          <cell r="B43" t="str">
            <v>Superior Court - Santa Barbara</v>
          </cell>
        </row>
        <row r="44">
          <cell r="B44" t="str">
            <v>Superior Court - Santa Clara</v>
          </cell>
        </row>
        <row r="45">
          <cell r="B45" t="str">
            <v>Superior Court - Santa Cruz</v>
          </cell>
        </row>
        <row r="46">
          <cell r="B46" t="str">
            <v>Superior Court - Shasta</v>
          </cell>
        </row>
        <row r="47">
          <cell r="B47" t="str">
            <v>Superior Court - Sierra</v>
          </cell>
        </row>
        <row r="48">
          <cell r="B48" t="str">
            <v>Superior Court - Siskiyou</v>
          </cell>
        </row>
        <row r="49">
          <cell r="B49" t="str">
            <v>Superior Court - Solano</v>
          </cell>
        </row>
        <row r="50">
          <cell r="B50" t="str">
            <v>Superior Court - Sonoma</v>
          </cell>
        </row>
        <row r="51">
          <cell r="B51" t="str">
            <v>Superior Court - Stanislaus</v>
          </cell>
        </row>
        <row r="52">
          <cell r="B52" t="str">
            <v>Superior Court - Sutter</v>
          </cell>
        </row>
        <row r="53">
          <cell r="B53" t="str">
            <v>Superior Court - Tehama</v>
          </cell>
        </row>
        <row r="54">
          <cell r="B54" t="str">
            <v>Superior Court - Trinity</v>
          </cell>
        </row>
        <row r="55">
          <cell r="B55" t="str">
            <v>Superior Court - Tulare</v>
          </cell>
        </row>
        <row r="56">
          <cell r="B56" t="str">
            <v>Superior Court - Tuolumne</v>
          </cell>
        </row>
        <row r="57">
          <cell r="B57" t="str">
            <v>Superior Court - Ventura</v>
          </cell>
        </row>
        <row r="58">
          <cell r="B58" t="str">
            <v>Superior Court - Yolo</v>
          </cell>
        </row>
        <row r="59">
          <cell r="B59" t="str">
            <v>Superior Court - Yuba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1"/>
      <sheetName val="TCTF"/>
      <sheetName val="All funding sources"/>
      <sheetName val="OEE"/>
      <sheetName val="expenditure"/>
    </sheetNames>
    <sheetDataSet>
      <sheetData sheetId="0"/>
      <sheetData sheetId="1"/>
      <sheetData sheetId="2"/>
      <sheetData sheetId="3">
        <row r="4">
          <cell r="B4">
            <v>1</v>
          </cell>
          <cell r="C4">
            <v>36933</v>
          </cell>
        </row>
        <row r="5">
          <cell r="B5">
            <v>2</v>
          </cell>
          <cell r="C5">
            <v>21861</v>
          </cell>
        </row>
        <row r="6">
          <cell r="B6">
            <v>3</v>
          </cell>
          <cell r="C6">
            <v>20343</v>
          </cell>
        </row>
        <row r="7">
          <cell r="B7">
            <v>4</v>
          </cell>
          <cell r="C7">
            <v>17454</v>
          </cell>
        </row>
        <row r="12">
          <cell r="B12">
            <v>1</v>
          </cell>
          <cell r="C12">
            <v>40042</v>
          </cell>
        </row>
        <row r="13">
          <cell r="B13">
            <v>2</v>
          </cell>
          <cell r="C13">
            <v>24970</v>
          </cell>
        </row>
        <row r="14">
          <cell r="B14">
            <v>3</v>
          </cell>
          <cell r="C14">
            <v>23452</v>
          </cell>
        </row>
        <row r="15">
          <cell r="B15">
            <v>4</v>
          </cell>
          <cell r="C15">
            <v>20564</v>
          </cell>
        </row>
        <row r="45">
          <cell r="B45">
            <v>1</v>
          </cell>
          <cell r="C45">
            <v>43150</v>
          </cell>
        </row>
        <row r="46">
          <cell r="B46">
            <v>2</v>
          </cell>
          <cell r="C46">
            <v>27437</v>
          </cell>
        </row>
        <row r="47">
          <cell r="B47">
            <v>3</v>
          </cell>
          <cell r="C47">
            <v>28228</v>
          </cell>
        </row>
        <row r="48">
          <cell r="B48">
            <v>4</v>
          </cell>
          <cell r="C48">
            <v>25404</v>
          </cell>
        </row>
      </sheetData>
      <sheetData sheetId="4">
        <row r="5">
          <cell r="A5" t="str">
            <v>Alameda</v>
          </cell>
          <cell r="B5">
            <v>74556770</v>
          </cell>
          <cell r="C5">
            <v>16350926</v>
          </cell>
          <cell r="D5">
            <v>90907696</v>
          </cell>
          <cell r="E5">
            <v>76241396</v>
          </cell>
          <cell r="F5">
            <v>17154800</v>
          </cell>
          <cell r="G5">
            <v>93396196</v>
          </cell>
        </row>
        <row r="6">
          <cell r="A6" t="str">
            <v>Alpine</v>
          </cell>
          <cell r="B6">
            <v>290174</v>
          </cell>
          <cell r="C6">
            <v>207360</v>
          </cell>
          <cell r="D6">
            <v>497534</v>
          </cell>
          <cell r="E6">
            <v>290174</v>
          </cell>
          <cell r="F6">
            <v>216036</v>
          </cell>
          <cell r="G6">
            <v>506210</v>
          </cell>
        </row>
        <row r="7">
          <cell r="A7" t="str">
            <v>Amador</v>
          </cell>
          <cell r="B7">
            <v>2204121</v>
          </cell>
          <cell r="C7">
            <v>605212</v>
          </cell>
          <cell r="D7">
            <v>2809333</v>
          </cell>
          <cell r="E7">
            <v>2239416</v>
          </cell>
          <cell r="F7">
            <v>617967</v>
          </cell>
          <cell r="G7">
            <v>2857382</v>
          </cell>
        </row>
        <row r="8">
          <cell r="A8" t="str">
            <v>Butte</v>
          </cell>
          <cell r="B8">
            <v>8011539</v>
          </cell>
          <cell r="C8">
            <v>2688135</v>
          </cell>
          <cell r="D8">
            <v>10699674</v>
          </cell>
          <cell r="E8">
            <v>8474711</v>
          </cell>
          <cell r="F8">
            <v>2791561</v>
          </cell>
          <cell r="G8">
            <v>11266272</v>
          </cell>
        </row>
        <row r="9">
          <cell r="A9" t="str">
            <v>Calaveras</v>
          </cell>
          <cell r="B9">
            <v>2020542</v>
          </cell>
          <cell r="C9">
            <v>688788</v>
          </cell>
          <cell r="D9">
            <v>2709330</v>
          </cell>
          <cell r="E9">
            <v>2190802</v>
          </cell>
          <cell r="F9">
            <v>798754</v>
          </cell>
          <cell r="G9">
            <v>2989556</v>
          </cell>
        </row>
        <row r="10">
          <cell r="A10" t="str">
            <v>Colusa</v>
          </cell>
          <cell r="B10">
            <v>1117307</v>
          </cell>
          <cell r="C10">
            <v>775979</v>
          </cell>
          <cell r="D10">
            <v>1893285</v>
          </cell>
          <cell r="E10">
            <v>1117307</v>
          </cell>
          <cell r="F10">
            <v>775979</v>
          </cell>
          <cell r="G10">
            <v>1893285</v>
          </cell>
        </row>
        <row r="11">
          <cell r="A11" t="str">
            <v>Contra Costa</v>
          </cell>
          <cell r="B11">
            <v>38028992</v>
          </cell>
          <cell r="C11">
            <v>12120556</v>
          </cell>
          <cell r="D11">
            <v>50149548</v>
          </cell>
          <cell r="E11">
            <v>38683228</v>
          </cell>
          <cell r="F11">
            <v>14772859</v>
          </cell>
          <cell r="G11">
            <v>53456087</v>
          </cell>
        </row>
        <row r="12">
          <cell r="A12" t="str">
            <v>Del Norte</v>
          </cell>
          <cell r="B12">
            <v>2234213</v>
          </cell>
          <cell r="C12">
            <v>921063</v>
          </cell>
          <cell r="D12">
            <v>3155276</v>
          </cell>
          <cell r="E12">
            <v>2234213</v>
          </cell>
          <cell r="F12">
            <v>1081331</v>
          </cell>
          <cell r="G12">
            <v>3315543</v>
          </cell>
        </row>
        <row r="13">
          <cell r="A13" t="str">
            <v>El Dorado</v>
          </cell>
          <cell r="B13">
            <v>6757143</v>
          </cell>
          <cell r="C13">
            <v>2038210</v>
          </cell>
          <cell r="D13">
            <v>8795353</v>
          </cell>
          <cell r="E13">
            <v>6829411</v>
          </cell>
          <cell r="F13">
            <v>2105499</v>
          </cell>
          <cell r="G13">
            <v>8934910</v>
          </cell>
        </row>
        <row r="14">
          <cell r="A14" t="str">
            <v>Fresno</v>
          </cell>
          <cell r="B14">
            <v>44438174</v>
          </cell>
          <cell r="C14">
            <v>13462072</v>
          </cell>
          <cell r="D14">
            <v>57900246</v>
          </cell>
          <cell r="E14">
            <v>44697488</v>
          </cell>
          <cell r="F14">
            <v>18174883</v>
          </cell>
          <cell r="G14">
            <v>62872371</v>
          </cell>
        </row>
        <row r="15">
          <cell r="A15" t="str">
            <v>Glenn</v>
          </cell>
          <cell r="B15">
            <v>1491152</v>
          </cell>
          <cell r="C15">
            <v>875561</v>
          </cell>
          <cell r="D15">
            <v>2366713</v>
          </cell>
          <cell r="E15">
            <v>1490423</v>
          </cell>
          <cell r="F15">
            <v>875561</v>
          </cell>
          <cell r="G15">
            <v>2365983</v>
          </cell>
        </row>
        <row r="16">
          <cell r="A16" t="str">
            <v>Humboldt</v>
          </cell>
          <cell r="B16">
            <v>5270010</v>
          </cell>
          <cell r="C16">
            <v>2201860</v>
          </cell>
          <cell r="D16">
            <v>7471870</v>
          </cell>
          <cell r="E16">
            <v>5273363</v>
          </cell>
          <cell r="F16">
            <v>2200512</v>
          </cell>
          <cell r="G16">
            <v>7473875</v>
          </cell>
        </row>
        <row r="17">
          <cell r="A17" t="str">
            <v>Imperial</v>
          </cell>
          <cell r="B17">
            <v>7216528</v>
          </cell>
          <cell r="C17">
            <v>3435981</v>
          </cell>
          <cell r="D17">
            <v>10652509</v>
          </cell>
          <cell r="E17">
            <v>7916528</v>
          </cell>
          <cell r="F17">
            <v>4300808</v>
          </cell>
          <cell r="G17">
            <v>12217336</v>
          </cell>
        </row>
        <row r="18">
          <cell r="A18" t="str">
            <v>Inyo</v>
          </cell>
          <cell r="B18">
            <v>1451356</v>
          </cell>
          <cell r="C18">
            <v>999896</v>
          </cell>
          <cell r="D18">
            <v>2451252</v>
          </cell>
          <cell r="E18">
            <v>1572150</v>
          </cell>
          <cell r="F18">
            <v>1004385</v>
          </cell>
          <cell r="G18">
            <v>2576535</v>
          </cell>
        </row>
        <row r="19">
          <cell r="A19" t="str">
            <v>Kern</v>
          </cell>
          <cell r="B19">
            <v>39245165</v>
          </cell>
          <cell r="C19">
            <v>7500791</v>
          </cell>
          <cell r="D19">
            <v>46745956</v>
          </cell>
          <cell r="E19">
            <v>41907346</v>
          </cell>
          <cell r="F19">
            <v>11161780</v>
          </cell>
          <cell r="G19">
            <v>53069126</v>
          </cell>
        </row>
        <row r="20">
          <cell r="A20" t="str">
            <v>Kings</v>
          </cell>
          <cell r="B20">
            <v>5738811</v>
          </cell>
          <cell r="C20">
            <v>2531177</v>
          </cell>
          <cell r="D20">
            <v>8269989</v>
          </cell>
          <cell r="E20">
            <v>5743982</v>
          </cell>
          <cell r="F20">
            <v>2911857</v>
          </cell>
          <cell r="G20">
            <v>8655839</v>
          </cell>
        </row>
        <row r="21">
          <cell r="A21" t="str">
            <v>Lake</v>
          </cell>
          <cell r="B21">
            <v>2447547</v>
          </cell>
          <cell r="C21">
            <v>1348207</v>
          </cell>
          <cell r="D21">
            <v>3795754</v>
          </cell>
          <cell r="E21">
            <v>2448150</v>
          </cell>
          <cell r="F21">
            <v>1350696</v>
          </cell>
          <cell r="G21">
            <v>3798846</v>
          </cell>
        </row>
        <row r="22">
          <cell r="A22" t="str">
            <v>Lassen</v>
          </cell>
          <cell r="B22">
            <v>2440386</v>
          </cell>
          <cell r="C22">
            <v>648534</v>
          </cell>
          <cell r="D22">
            <v>3088921</v>
          </cell>
          <cell r="E22">
            <v>2478403</v>
          </cell>
          <cell r="F22">
            <v>866221</v>
          </cell>
          <cell r="G22">
            <v>3344624</v>
          </cell>
        </row>
        <row r="23">
          <cell r="A23" t="str">
            <v>Los Angeles</v>
          </cell>
          <cell r="B23">
            <v>533320096</v>
          </cell>
          <cell r="C23">
            <v>94076138</v>
          </cell>
          <cell r="D23">
            <v>627396234</v>
          </cell>
          <cell r="E23">
            <v>548201584</v>
          </cell>
          <cell r="F23">
            <v>105115077</v>
          </cell>
          <cell r="G23">
            <v>653316661</v>
          </cell>
        </row>
        <row r="24">
          <cell r="A24" t="str">
            <v>Madera</v>
          </cell>
          <cell r="B24">
            <v>6984463</v>
          </cell>
          <cell r="C24">
            <v>1829993</v>
          </cell>
          <cell r="D24">
            <v>8814456</v>
          </cell>
          <cell r="E24">
            <v>6984463</v>
          </cell>
          <cell r="F24">
            <v>1829993</v>
          </cell>
          <cell r="G24">
            <v>8814456</v>
          </cell>
        </row>
        <row r="25">
          <cell r="A25" t="str">
            <v>Marin</v>
          </cell>
          <cell r="B25">
            <v>12296183</v>
          </cell>
          <cell r="C25">
            <v>4348960</v>
          </cell>
          <cell r="D25">
            <v>16645143</v>
          </cell>
          <cell r="E25">
            <v>12318200</v>
          </cell>
          <cell r="F25">
            <v>4349663</v>
          </cell>
          <cell r="G25">
            <v>16667863</v>
          </cell>
        </row>
        <row r="26">
          <cell r="A26" t="str">
            <v>Mariposa</v>
          </cell>
          <cell r="B26">
            <v>792771</v>
          </cell>
          <cell r="C26">
            <v>508953</v>
          </cell>
          <cell r="D26">
            <v>1301724</v>
          </cell>
          <cell r="E26">
            <v>792771</v>
          </cell>
          <cell r="F26">
            <v>514721</v>
          </cell>
          <cell r="G26">
            <v>1307492</v>
          </cell>
        </row>
        <row r="27">
          <cell r="A27" t="str">
            <v>Mendocino</v>
          </cell>
          <cell r="B27">
            <v>5205920</v>
          </cell>
          <cell r="C27">
            <v>940891</v>
          </cell>
          <cell r="D27">
            <v>6146811</v>
          </cell>
          <cell r="E27">
            <v>5209013</v>
          </cell>
          <cell r="F27">
            <v>963936</v>
          </cell>
          <cell r="G27">
            <v>6172949</v>
          </cell>
        </row>
        <row r="28">
          <cell r="A28" t="str">
            <v>Merced</v>
          </cell>
          <cell r="B28">
            <v>9387944</v>
          </cell>
          <cell r="C28">
            <v>4310650</v>
          </cell>
          <cell r="D28">
            <v>13698594</v>
          </cell>
          <cell r="E28">
            <v>9391294</v>
          </cell>
          <cell r="F28">
            <v>4566454</v>
          </cell>
          <cell r="G28">
            <v>13957748</v>
          </cell>
        </row>
        <row r="29">
          <cell r="A29" t="str">
            <v>Modoc</v>
          </cell>
          <cell r="B29">
            <v>758375</v>
          </cell>
          <cell r="C29">
            <v>561387</v>
          </cell>
          <cell r="D29">
            <v>1319762</v>
          </cell>
          <cell r="E29">
            <v>823549</v>
          </cell>
          <cell r="F29">
            <v>569334</v>
          </cell>
          <cell r="G29">
            <v>1392883</v>
          </cell>
        </row>
        <row r="30">
          <cell r="A30" t="str">
            <v>Mono</v>
          </cell>
          <cell r="B30">
            <v>1056770</v>
          </cell>
          <cell r="C30">
            <v>724888</v>
          </cell>
          <cell r="D30">
            <v>1781659</v>
          </cell>
          <cell r="E30">
            <v>1056770</v>
          </cell>
          <cell r="F30">
            <v>726890</v>
          </cell>
          <cell r="G30">
            <v>1783661</v>
          </cell>
        </row>
        <row r="31">
          <cell r="A31" t="str">
            <v>Monterey</v>
          </cell>
          <cell r="B31">
            <v>16202406</v>
          </cell>
          <cell r="C31">
            <v>5976382</v>
          </cell>
          <cell r="D31">
            <v>22178787</v>
          </cell>
          <cell r="E31">
            <v>16427590</v>
          </cell>
          <cell r="F31">
            <v>6198033</v>
          </cell>
          <cell r="G31">
            <v>22625623</v>
          </cell>
        </row>
        <row r="32">
          <cell r="A32" t="str">
            <v>Napa</v>
          </cell>
          <cell r="B32">
            <v>7756884</v>
          </cell>
          <cell r="C32">
            <v>1423244</v>
          </cell>
          <cell r="D32">
            <v>9180128</v>
          </cell>
          <cell r="E32">
            <v>7756884</v>
          </cell>
          <cell r="F32">
            <v>1583470</v>
          </cell>
          <cell r="G32">
            <v>9340354</v>
          </cell>
        </row>
        <row r="33">
          <cell r="A33" t="str">
            <v>Nevada</v>
          </cell>
          <cell r="B33">
            <v>5112060</v>
          </cell>
          <cell r="C33">
            <v>1554144</v>
          </cell>
          <cell r="D33">
            <v>6666204</v>
          </cell>
          <cell r="E33">
            <v>5187318</v>
          </cell>
          <cell r="F33">
            <v>1834528</v>
          </cell>
          <cell r="G33">
            <v>7021846</v>
          </cell>
        </row>
        <row r="34">
          <cell r="A34" t="str">
            <v>Orange</v>
          </cell>
          <cell r="B34">
            <v>146660224</v>
          </cell>
          <cell r="C34">
            <v>37156769</v>
          </cell>
          <cell r="D34">
            <v>183816993</v>
          </cell>
          <cell r="E34">
            <v>151754036</v>
          </cell>
          <cell r="F34">
            <v>47084503</v>
          </cell>
          <cell r="G34">
            <v>198838539</v>
          </cell>
        </row>
        <row r="35">
          <cell r="A35" t="str">
            <v>Placer</v>
          </cell>
          <cell r="B35">
            <v>12463100</v>
          </cell>
          <cell r="C35">
            <v>2927110</v>
          </cell>
          <cell r="D35">
            <v>15390210</v>
          </cell>
          <cell r="E35">
            <v>12719832</v>
          </cell>
          <cell r="F35">
            <v>3058510</v>
          </cell>
          <cell r="G35">
            <v>15778341</v>
          </cell>
        </row>
        <row r="36">
          <cell r="A36" t="str">
            <v>Plumas</v>
          </cell>
          <cell r="B36">
            <v>1161223</v>
          </cell>
          <cell r="C36">
            <v>820246</v>
          </cell>
          <cell r="D36">
            <v>1981469</v>
          </cell>
          <cell r="E36">
            <v>1161223</v>
          </cell>
          <cell r="F36">
            <v>1155945</v>
          </cell>
          <cell r="G36">
            <v>2317168</v>
          </cell>
        </row>
        <row r="37">
          <cell r="A37" t="str">
            <v>Riverside</v>
          </cell>
          <cell r="B37">
            <v>88521764</v>
          </cell>
          <cell r="C37">
            <v>23012526</v>
          </cell>
          <cell r="D37">
            <v>111534290</v>
          </cell>
          <cell r="E37">
            <v>94579820</v>
          </cell>
          <cell r="F37">
            <v>29767160</v>
          </cell>
          <cell r="G37">
            <v>124346980</v>
          </cell>
        </row>
        <row r="38">
          <cell r="A38" t="str">
            <v>Sacramento</v>
          </cell>
          <cell r="B38">
            <v>71876964</v>
          </cell>
          <cell r="C38">
            <v>12335650</v>
          </cell>
          <cell r="D38">
            <v>84212614</v>
          </cell>
          <cell r="E38">
            <v>72532240</v>
          </cell>
          <cell r="F38">
            <v>13622005</v>
          </cell>
          <cell r="G38">
            <v>86154245</v>
          </cell>
        </row>
        <row r="39">
          <cell r="A39" t="str">
            <v>San Benito</v>
          </cell>
          <cell r="B39">
            <v>2414823</v>
          </cell>
          <cell r="C39">
            <v>845607</v>
          </cell>
          <cell r="D39">
            <v>3260430</v>
          </cell>
          <cell r="E39">
            <v>2414823</v>
          </cell>
          <cell r="F39">
            <v>848407</v>
          </cell>
          <cell r="G39">
            <v>3263230</v>
          </cell>
        </row>
        <row r="40">
          <cell r="A40" t="str">
            <v>San Bernardino</v>
          </cell>
          <cell r="B40">
            <v>78458900</v>
          </cell>
          <cell r="C40">
            <v>21515322</v>
          </cell>
          <cell r="D40">
            <v>99974222</v>
          </cell>
          <cell r="E40">
            <v>80473690</v>
          </cell>
          <cell r="F40">
            <v>24388913</v>
          </cell>
          <cell r="G40">
            <v>104862603</v>
          </cell>
        </row>
        <row r="41">
          <cell r="A41" t="str">
            <v>San Diego</v>
          </cell>
          <cell r="B41">
            <v>134883956</v>
          </cell>
          <cell r="C41">
            <v>33349661</v>
          </cell>
          <cell r="D41">
            <v>168233617</v>
          </cell>
          <cell r="E41">
            <v>140022964</v>
          </cell>
          <cell r="F41">
            <v>36387830</v>
          </cell>
          <cell r="G41">
            <v>176410794</v>
          </cell>
        </row>
        <row r="42">
          <cell r="A42" t="str">
            <v>San Francisco</v>
          </cell>
          <cell r="B42">
            <v>57658817</v>
          </cell>
          <cell r="C42">
            <v>16229857</v>
          </cell>
          <cell r="D42">
            <v>73888674</v>
          </cell>
          <cell r="E42">
            <v>58665237</v>
          </cell>
          <cell r="F42">
            <v>19679042</v>
          </cell>
          <cell r="G42">
            <v>78344279</v>
          </cell>
        </row>
        <row r="43">
          <cell r="A43" t="str">
            <v>San Joaquin</v>
          </cell>
          <cell r="B43">
            <v>27597211</v>
          </cell>
          <cell r="C43">
            <v>5712381</v>
          </cell>
          <cell r="D43">
            <v>33309592</v>
          </cell>
          <cell r="E43">
            <v>28415757</v>
          </cell>
          <cell r="F43">
            <v>6936714</v>
          </cell>
          <cell r="G43">
            <v>35352471</v>
          </cell>
        </row>
        <row r="44">
          <cell r="A44" t="str">
            <v>San Luis Obispo</v>
          </cell>
          <cell r="B44">
            <v>12998333</v>
          </cell>
          <cell r="C44">
            <v>3572952</v>
          </cell>
          <cell r="D44">
            <v>16571285</v>
          </cell>
          <cell r="E44">
            <v>13451849</v>
          </cell>
          <cell r="F44">
            <v>4016500</v>
          </cell>
          <cell r="G44">
            <v>17468349</v>
          </cell>
        </row>
        <row r="45">
          <cell r="A45" t="str">
            <v>San Mateo</v>
          </cell>
          <cell r="B45">
            <v>33210585</v>
          </cell>
          <cell r="C45">
            <v>6706766</v>
          </cell>
          <cell r="D45">
            <v>39917351</v>
          </cell>
          <cell r="E45">
            <v>33210585</v>
          </cell>
          <cell r="F45">
            <v>7929682</v>
          </cell>
          <cell r="G45">
            <v>41140267</v>
          </cell>
        </row>
        <row r="46">
          <cell r="A46" t="str">
            <v>Santa Barbara</v>
          </cell>
          <cell r="B46">
            <v>21623136</v>
          </cell>
          <cell r="C46">
            <v>4005705</v>
          </cell>
          <cell r="D46">
            <v>25628841</v>
          </cell>
          <cell r="E46">
            <v>23113505</v>
          </cell>
          <cell r="F46">
            <v>4890899</v>
          </cell>
          <cell r="G46">
            <v>28004403</v>
          </cell>
        </row>
        <row r="47">
          <cell r="A47" t="str">
            <v>Santa Clara</v>
          </cell>
          <cell r="B47">
            <v>83969532</v>
          </cell>
          <cell r="C47">
            <v>14184751</v>
          </cell>
          <cell r="D47">
            <v>98154283</v>
          </cell>
          <cell r="E47">
            <v>86386340</v>
          </cell>
          <cell r="F47">
            <v>16474661</v>
          </cell>
          <cell r="G47">
            <v>102861001</v>
          </cell>
        </row>
        <row r="48">
          <cell r="A48" t="str">
            <v>Santa Cruz</v>
          </cell>
          <cell r="B48">
            <v>9838003</v>
          </cell>
          <cell r="C48">
            <v>1903976</v>
          </cell>
          <cell r="D48">
            <v>11741979</v>
          </cell>
          <cell r="E48">
            <v>10205373</v>
          </cell>
          <cell r="F48">
            <v>2097507</v>
          </cell>
          <cell r="G48">
            <v>12302879</v>
          </cell>
        </row>
        <row r="49">
          <cell r="A49" t="str">
            <v>Shasta</v>
          </cell>
          <cell r="B49">
            <v>10368051</v>
          </cell>
          <cell r="C49">
            <v>2692420</v>
          </cell>
          <cell r="D49">
            <v>13060471</v>
          </cell>
          <cell r="E49">
            <v>11970677</v>
          </cell>
          <cell r="F49">
            <v>3156292</v>
          </cell>
          <cell r="G49">
            <v>15126970</v>
          </cell>
        </row>
        <row r="50">
          <cell r="A50" t="str">
            <v>Sierra</v>
          </cell>
          <cell r="B50">
            <v>342181</v>
          </cell>
          <cell r="C50">
            <v>246199</v>
          </cell>
          <cell r="D50">
            <v>588380</v>
          </cell>
          <cell r="E50">
            <v>360351</v>
          </cell>
          <cell r="F50">
            <v>257983</v>
          </cell>
          <cell r="G50">
            <v>618334</v>
          </cell>
        </row>
        <row r="51">
          <cell r="A51" t="str">
            <v>Siskiyou</v>
          </cell>
          <cell r="B51">
            <v>3738475</v>
          </cell>
          <cell r="C51">
            <v>1139500</v>
          </cell>
          <cell r="D51">
            <v>4877975</v>
          </cell>
          <cell r="E51">
            <v>3922145</v>
          </cell>
          <cell r="F51">
            <v>1193615</v>
          </cell>
          <cell r="G51">
            <v>5115760</v>
          </cell>
        </row>
        <row r="52">
          <cell r="A52" t="str">
            <v>Solano</v>
          </cell>
          <cell r="B52">
            <v>19976931</v>
          </cell>
          <cell r="C52">
            <v>8325218</v>
          </cell>
          <cell r="D52">
            <v>28302149</v>
          </cell>
          <cell r="E52">
            <v>20321090</v>
          </cell>
          <cell r="F52">
            <v>8520454</v>
          </cell>
          <cell r="G52">
            <v>28841544</v>
          </cell>
        </row>
        <row r="53">
          <cell r="A53" t="str">
            <v>Sonoma</v>
          </cell>
          <cell r="B53">
            <v>20321968</v>
          </cell>
          <cell r="C53">
            <v>6210897</v>
          </cell>
          <cell r="D53">
            <v>26532865</v>
          </cell>
          <cell r="E53">
            <v>21281968</v>
          </cell>
          <cell r="F53">
            <v>6857375</v>
          </cell>
          <cell r="G53">
            <v>28139343</v>
          </cell>
        </row>
        <row r="54">
          <cell r="A54" t="str">
            <v>Stanislaus</v>
          </cell>
          <cell r="B54">
            <v>18166187</v>
          </cell>
          <cell r="C54">
            <v>2662694</v>
          </cell>
          <cell r="D54">
            <v>20828881</v>
          </cell>
          <cell r="E54">
            <v>18673888</v>
          </cell>
          <cell r="F54">
            <v>3792057</v>
          </cell>
          <cell r="G54">
            <v>22465945</v>
          </cell>
        </row>
        <row r="55">
          <cell r="A55" t="str">
            <v>Sutter</v>
          </cell>
          <cell r="B55">
            <v>4665879</v>
          </cell>
          <cell r="C55">
            <v>1172190</v>
          </cell>
          <cell r="D55">
            <v>5838069</v>
          </cell>
          <cell r="E55">
            <v>4780486</v>
          </cell>
          <cell r="F55">
            <v>1250513</v>
          </cell>
          <cell r="G55">
            <v>6030998</v>
          </cell>
        </row>
        <row r="56">
          <cell r="A56" t="str">
            <v>Tehama</v>
          </cell>
          <cell r="B56">
            <v>3242369</v>
          </cell>
          <cell r="C56">
            <v>950209</v>
          </cell>
          <cell r="D56">
            <v>4192578</v>
          </cell>
          <cell r="E56">
            <v>3242369</v>
          </cell>
          <cell r="F56">
            <v>1048996</v>
          </cell>
          <cell r="G56">
            <v>4291365</v>
          </cell>
        </row>
        <row r="57">
          <cell r="A57" t="str">
            <v>Trinity</v>
          </cell>
          <cell r="B57">
            <v>1125388</v>
          </cell>
          <cell r="C57">
            <v>357845</v>
          </cell>
          <cell r="D57">
            <v>1483233</v>
          </cell>
          <cell r="E57">
            <v>1145909</v>
          </cell>
          <cell r="F57">
            <v>373752</v>
          </cell>
          <cell r="G57">
            <v>1519660</v>
          </cell>
        </row>
        <row r="58">
          <cell r="A58" t="str">
            <v>Tulare</v>
          </cell>
          <cell r="B58">
            <v>16682001</v>
          </cell>
          <cell r="C58">
            <v>4782607</v>
          </cell>
          <cell r="D58">
            <v>21464608</v>
          </cell>
          <cell r="E58">
            <v>17409927</v>
          </cell>
          <cell r="F58">
            <v>6145702</v>
          </cell>
          <cell r="G58">
            <v>23555629</v>
          </cell>
        </row>
        <row r="59">
          <cell r="A59" t="str">
            <v>Tuolumne</v>
          </cell>
          <cell r="B59">
            <v>2785805</v>
          </cell>
          <cell r="C59">
            <v>793775</v>
          </cell>
          <cell r="D59">
            <v>3579581</v>
          </cell>
          <cell r="E59">
            <v>3050010</v>
          </cell>
          <cell r="F59">
            <v>933719</v>
          </cell>
          <cell r="G59">
            <v>3983729</v>
          </cell>
        </row>
        <row r="60">
          <cell r="A60" t="str">
            <v>Ventura</v>
          </cell>
          <cell r="B60">
            <v>29484950</v>
          </cell>
          <cell r="C60">
            <v>8653651</v>
          </cell>
          <cell r="D60">
            <v>38138601</v>
          </cell>
          <cell r="E60">
            <v>33067974</v>
          </cell>
          <cell r="F60">
            <v>10466196</v>
          </cell>
          <cell r="G60">
            <v>43534170</v>
          </cell>
        </row>
        <row r="61">
          <cell r="A61" t="str">
            <v>Yolo</v>
          </cell>
          <cell r="B61">
            <v>6978960</v>
          </cell>
          <cell r="C61">
            <v>2550555</v>
          </cell>
          <cell r="D61">
            <v>9529515</v>
          </cell>
          <cell r="E61">
            <v>7813930</v>
          </cell>
          <cell r="F61">
            <v>2962058</v>
          </cell>
          <cell r="G61">
            <v>10775988</v>
          </cell>
        </row>
        <row r="62">
          <cell r="A62" t="str">
            <v>Yuba</v>
          </cell>
          <cell r="B62">
            <v>3625993</v>
          </cell>
          <cell r="C62">
            <v>1088191</v>
          </cell>
          <cell r="D62">
            <v>4714184</v>
          </cell>
          <cell r="E62">
            <v>4017905</v>
          </cell>
          <cell r="F62">
            <v>1523641</v>
          </cell>
          <cell r="G62">
            <v>5541546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Revise"/>
      <sheetName val="10R_1st Pass"/>
      <sheetName val="Revenue and Funding"/>
      <sheetName val="New Revenues"/>
      <sheetName val="Filings Detail"/>
      <sheetName val="Revenue Detail"/>
      <sheetName val="Filings Summary"/>
      <sheetName val="Revenue Summary"/>
      <sheetName val="First Paper"/>
      <sheetName val="Unlimited"/>
      <sheetName val="Limited 10K"/>
      <sheetName val="Marriage Dissolution"/>
      <sheetName val="Limited 10K to 25K"/>
      <sheetName val="GC 70626 Fees"/>
      <sheetName val="Motion Fees"/>
      <sheetName val="Probate Fees"/>
      <sheetName val="Limited 5K"/>
      <sheetName val="Family Law"/>
      <sheetName val="SMIF"/>
      <sheetName val="Telephonic Appearance"/>
      <sheetName val="Access EAF Dist"/>
      <sheetName val="TC145 Template 20140101"/>
      <sheetName val="Access TC-145 Calc Data13-14"/>
      <sheetName val="Access TEALE Data13-14"/>
      <sheetName val="Access TC-145 Calc Data12-13"/>
      <sheetName val="Access TEALE Data12-13"/>
      <sheetName val="Access TC-145 Calc Data11-12"/>
      <sheetName val="Access TEALE Data11-12"/>
      <sheetName val="Access TC-145 Calc Data10-11"/>
      <sheetName val="Access TEALE Data10-11"/>
      <sheetName val="Access TC-145 Calc Data09-10"/>
      <sheetName val="Access TEALE Data09-10"/>
      <sheetName val="Access TC-145 Calc Data08-09"/>
      <sheetName val="Access TEALE Data08-09"/>
      <sheetName val="Access TC-145 Calc Data07-08"/>
      <sheetName val="Access TEALE Data07-08"/>
      <sheetName val="Access TC-145 Calc Data06-07"/>
      <sheetName val="Access TEALE Data06-07"/>
      <sheetName val="Access TC-145 Calc Data05-06"/>
      <sheetName val="Access TEALE Data05-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1"/>
      <sheetName val="Macro1"/>
    </sheetNames>
    <sheetDataSet>
      <sheetData sheetId="0"/>
      <sheetData sheetId="1">
        <row r="76">
          <cell r="A76" t="str">
            <v>Recover</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_PCC list &amp; reduction"/>
      <sheetName val="Program Listing and Reducti (2)"/>
      <sheetName val="Program Listing and Reductions"/>
      <sheetName val="Mod Fund"/>
      <sheetName val="TCIF"/>
      <sheetName val="All Div - B1"/>
      <sheetName val="All Div - B2"/>
      <sheetName val="Combo Box"/>
    </sheetNames>
    <sheetDataSet>
      <sheetData sheetId="0"/>
      <sheetData sheetId="1"/>
      <sheetData sheetId="2"/>
      <sheetData sheetId="3"/>
      <sheetData sheetId="4"/>
      <sheetData sheetId="5"/>
      <sheetData sheetId="6"/>
      <sheetData sheetId="7">
        <row r="2">
          <cell r="A2" t="str">
            <v>Discontinue</v>
          </cell>
        </row>
        <row r="3">
          <cell r="A3" t="str">
            <v>Suspend</v>
          </cell>
        </row>
        <row r="4">
          <cell r="A4" t="str">
            <v>Partial</v>
          </cell>
        </row>
        <row r="5">
          <cell r="A5" t="str">
            <v>No Change</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TF 2009-10 2nd Turn (3)"/>
      <sheetName val="TCTF 2009-10 2nd Turn (2)"/>
      <sheetName val="TCTF 2009-10 2nd Turn"/>
      <sheetName val="FY 2008-09 Overview"/>
      <sheetName val="TEALE 2008"/>
      <sheetName val="TEALE 2008 (2)"/>
      <sheetName val="Account Descriptions"/>
      <sheetName val="Summary (2)"/>
      <sheetName val="Summary"/>
      <sheetName val="Sheet9"/>
      <sheetName val="FY 2008-09_Months"/>
      <sheetName val="TEALE 2006"/>
      <sheetName val="TEALE 2005"/>
      <sheetName val="Account Pvt Table"/>
      <sheetName val="Pvt Tbl 2"/>
      <sheetName val="Pvt Tbl"/>
      <sheetName val="Jeff_qryTC145B11 (2)"/>
      <sheetName val="Jeff_qryTC145B11"/>
      <sheetName val="New_Code_Section_and_TC_145_Row"/>
      <sheetName val="TC-145 Row_ID_Description"/>
      <sheetName val="TC-145 Template"/>
    </sheetNames>
    <sheetDataSet>
      <sheetData sheetId="0"/>
      <sheetData sheetId="1"/>
      <sheetData sheetId="2"/>
      <sheetData sheetId="3"/>
      <sheetData sheetId="4"/>
      <sheetData sheetId="5">
        <row r="4">
          <cell r="A4">
            <v>131700</v>
          </cell>
        </row>
      </sheetData>
      <sheetData sheetId="6">
        <row r="3">
          <cell r="B3">
            <v>131700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W1" t="str">
            <v>Superior Court - Los Angeles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Template Example"/>
      <sheetName val="Report Template Instructions"/>
      <sheetName val="Report Template"/>
      <sheetName val="Report Template with comments"/>
      <sheetName val="Revision Crosswalk"/>
      <sheetName val="Schedule D Instructions"/>
      <sheetName val="Schedule D"/>
      <sheetName val="Schedule F Instructions"/>
      <sheetName val="Schedule F"/>
      <sheetName val="Certification"/>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F1" t="str">
            <v>Madera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L72"/>
  <sheetViews>
    <sheetView showGridLines="0" zoomScaleNormal="100" workbookViewId="0">
      <pane xSplit="2" ySplit="6" topLeftCell="C7" activePane="bottomRight" state="frozen"/>
      <selection activeCell="M68" sqref="M68"/>
      <selection pane="topRight" activeCell="M68" sqref="M68"/>
      <selection pane="bottomLeft" activeCell="M68" sqref="M68"/>
      <selection pane="bottomRight" activeCell="M15" sqref="M15"/>
    </sheetView>
  </sheetViews>
  <sheetFormatPr defaultColWidth="9.1328125" defaultRowHeight="15.4" x14ac:dyDescent="0.45"/>
  <cols>
    <col min="1" max="1" width="1.73046875" style="229" customWidth="1"/>
    <col min="2" max="2" width="15.59765625" style="229" bestFit="1" customWidth="1"/>
    <col min="3" max="3" width="15.73046875" style="229" bestFit="1" customWidth="1"/>
    <col min="4" max="8" width="14.59765625" style="229" customWidth="1"/>
    <col min="9" max="9" width="16.265625" style="229" bestFit="1" customWidth="1"/>
    <col min="10" max="10" width="15.73046875" style="229" bestFit="1" customWidth="1"/>
    <col min="11" max="11" width="15.265625" style="229" bestFit="1" customWidth="1"/>
    <col min="12" max="12" width="12.86328125" style="229" customWidth="1"/>
    <col min="13" max="16384" width="9.1328125" style="229"/>
  </cols>
  <sheetData>
    <row r="1" spans="2:12" ht="16.5" customHeight="1" x14ac:dyDescent="0.45">
      <c r="B1" s="416" t="s">
        <v>671</v>
      </c>
      <c r="C1" s="416"/>
      <c r="D1" s="416"/>
      <c r="E1" s="416"/>
      <c r="F1" s="416"/>
      <c r="G1" s="416"/>
      <c r="H1" s="416"/>
      <c r="I1" s="416"/>
      <c r="J1" s="416"/>
    </row>
    <row r="2" spans="2:12" ht="23.25" customHeight="1" x14ac:dyDescent="0.45">
      <c r="B2" s="416"/>
      <c r="C2" s="416"/>
      <c r="D2" s="416"/>
      <c r="E2" s="416"/>
      <c r="F2" s="416"/>
      <c r="G2" s="416"/>
      <c r="H2" s="416"/>
      <c r="I2" s="416"/>
      <c r="J2" s="416"/>
    </row>
    <row r="3" spans="2:12" ht="23.25" customHeight="1" x14ac:dyDescent="0.45">
      <c r="B3" s="367"/>
      <c r="C3" s="419" t="s">
        <v>561</v>
      </c>
      <c r="D3" s="420"/>
      <c r="E3" s="420"/>
      <c r="F3" s="421"/>
      <c r="G3" s="419" t="s">
        <v>562</v>
      </c>
      <c r="H3" s="420"/>
      <c r="I3" s="421"/>
      <c r="J3" s="367"/>
    </row>
    <row r="4" spans="2:12" ht="28.5" customHeight="1" x14ac:dyDescent="0.45">
      <c r="B4" s="280"/>
      <c r="C4" s="238" t="s">
        <v>383</v>
      </c>
      <c r="D4" s="238" t="s">
        <v>387</v>
      </c>
      <c r="E4" s="238" t="s">
        <v>388</v>
      </c>
      <c r="F4" s="238" t="s">
        <v>389</v>
      </c>
      <c r="G4" s="238" t="s">
        <v>517</v>
      </c>
      <c r="H4" s="238" t="s">
        <v>384</v>
      </c>
      <c r="I4" s="238" t="s">
        <v>385</v>
      </c>
      <c r="J4" s="417" t="s">
        <v>0</v>
      </c>
    </row>
    <row r="5" spans="2:12" ht="54.75" customHeight="1" x14ac:dyDescent="0.45">
      <c r="C5" s="230" t="s">
        <v>564</v>
      </c>
      <c r="D5" s="230" t="s">
        <v>565</v>
      </c>
      <c r="E5" s="230" t="s">
        <v>566</v>
      </c>
      <c r="F5" s="230" t="s">
        <v>567</v>
      </c>
      <c r="G5" s="230" t="s">
        <v>568</v>
      </c>
      <c r="H5" s="230" t="s">
        <v>667</v>
      </c>
      <c r="I5" s="230" t="s">
        <v>668</v>
      </c>
      <c r="J5" s="418"/>
    </row>
    <row r="6" spans="2:12" x14ac:dyDescent="0.45">
      <c r="B6" s="231" t="s">
        <v>63</v>
      </c>
      <c r="C6" s="232">
        <v>1</v>
      </c>
      <c r="D6" s="232">
        <v>2</v>
      </c>
      <c r="E6" s="232">
        <v>3</v>
      </c>
      <c r="F6" s="232">
        <v>4</v>
      </c>
      <c r="G6" s="232">
        <v>5</v>
      </c>
      <c r="H6" s="232">
        <v>6</v>
      </c>
      <c r="I6" s="232">
        <v>7</v>
      </c>
      <c r="J6" s="232">
        <v>8</v>
      </c>
    </row>
    <row r="7" spans="2:12" x14ac:dyDescent="0.45">
      <c r="B7" s="233" t="s">
        <v>53</v>
      </c>
      <c r="C7" s="282">
        <f>'C  - Beginning Base'!K5</f>
        <v>75837757.165534243</v>
      </c>
      <c r="D7" s="282">
        <f>'D - Benefits'!F5</f>
        <v>-117415.08990000052</v>
      </c>
      <c r="E7" s="282">
        <f>'F - FY 17-18 Alloc and Realloc'!Z6</f>
        <v>118477.48050865438</v>
      </c>
      <c r="F7" s="282">
        <f>'F - FY 17-18 Alloc and Realloc'!AB6</f>
        <v>-13183.574330919786</v>
      </c>
      <c r="G7" s="362">
        <f>'E -  Criminal Justice Alloc'!F7</f>
        <v>252660.58391455494</v>
      </c>
      <c r="H7" s="242">
        <f>'G -  Preliminary 1% Reduction'!K5</f>
        <v>-604310</v>
      </c>
      <c r="I7" s="242">
        <f>'H -  $22M in new CAC Funding'!C4</f>
        <v>569404</v>
      </c>
      <c r="J7" s="235">
        <f t="shared" ref="J7:J38" si="0">SUM(C7:I7)</f>
        <v>76043390.565726519</v>
      </c>
      <c r="K7" s="241"/>
      <c r="L7" s="281"/>
    </row>
    <row r="8" spans="2:12" x14ac:dyDescent="0.45">
      <c r="B8" s="233" t="s">
        <v>4</v>
      </c>
      <c r="C8" s="282">
        <f>'C  - Beginning Base'!K6</f>
        <v>747862.60987416201</v>
      </c>
      <c r="D8" s="282">
        <f>'D - Benefits'!F6</f>
        <v>11841.889419999998</v>
      </c>
      <c r="E8" s="282">
        <f>'F - FY 17-18 Alloc and Realloc'!Z7</f>
        <v>-22963.968566127172</v>
      </c>
      <c r="F8" s="282">
        <f>'F - FY 17-18 Alloc and Realloc'!AB7</f>
        <v>11128.0791461271</v>
      </c>
      <c r="G8" s="362">
        <f>'E -  Criminal Justice Alloc'!F8</f>
        <v>273.44219038371745</v>
      </c>
      <c r="H8" s="242">
        <f>'G -  Preliminary 1% Reduction'!K6</f>
        <v>-124881</v>
      </c>
      <c r="I8" s="242">
        <f>'H -  $22M in new CAC Funding'!C5</f>
        <v>288.214364465259</v>
      </c>
      <c r="J8" s="235">
        <f t="shared" si="0"/>
        <v>623549.2664290109</v>
      </c>
      <c r="K8" s="241"/>
      <c r="L8" s="281"/>
    </row>
    <row r="9" spans="2:12" x14ac:dyDescent="0.45">
      <c r="B9" s="233" t="s">
        <v>5</v>
      </c>
      <c r="C9" s="282">
        <f>'C  - Beginning Base'!K7</f>
        <v>2282693.4521041918</v>
      </c>
      <c r="D9" s="282">
        <f>'D - Benefits'!F7</f>
        <v>21663.390930000009</v>
      </c>
      <c r="E9" s="282">
        <f>'F - FY 17-18 Alloc and Realloc'!Z8</f>
        <v>-76748.762816172151</v>
      </c>
      <c r="F9" s="282">
        <f>'F - FY 17-18 Alloc and Realloc'!AB8</f>
        <v>-415.14105228305215</v>
      </c>
      <c r="G9" s="362">
        <f>'E -  Criminal Justice Alloc'!F9</f>
        <v>5742.285998058067</v>
      </c>
      <c r="H9" s="242">
        <f>'G -  Preliminary 1% Reduction'!K7</f>
        <v>0</v>
      </c>
      <c r="I9" s="242">
        <f>'H -  $22M in new CAC Funding'!C6</f>
        <v>21243</v>
      </c>
      <c r="J9" s="235">
        <f t="shared" si="0"/>
        <v>2254178.2251637951</v>
      </c>
      <c r="K9" s="241"/>
      <c r="L9" s="281"/>
    </row>
    <row r="10" spans="2:12" x14ac:dyDescent="0.45">
      <c r="B10" s="233" t="s">
        <v>19</v>
      </c>
      <c r="C10" s="282">
        <f>'C  - Beginning Base'!K8</f>
        <v>10114841.190948548</v>
      </c>
      <c r="D10" s="282">
        <f>'D - Benefits'!F8</f>
        <v>65289.591429999971</v>
      </c>
      <c r="E10" s="282">
        <f>'F - FY 17-18 Alloc and Realloc'!Z9</f>
        <v>-37055.933640633943</v>
      </c>
      <c r="F10" s="282">
        <f>'F - FY 17-18 Alloc and Realloc'!AB9</f>
        <v>-1746.5014291677401</v>
      </c>
      <c r="G10" s="362">
        <f>'E -  Criminal Justice Alloc'!F10</f>
        <v>86749.534899234364</v>
      </c>
      <c r="H10" s="242">
        <f>'G -  Preliminary 1% Reduction'!K8</f>
        <v>-173561</v>
      </c>
      <c r="I10" s="242">
        <f>'H -  $22M in new CAC Funding'!C7</f>
        <v>122046</v>
      </c>
      <c r="J10" s="235">
        <f t="shared" si="0"/>
        <v>10176562.882207979</v>
      </c>
      <c r="K10" s="241"/>
      <c r="L10" s="281"/>
    </row>
    <row r="11" spans="2:12" x14ac:dyDescent="0.45">
      <c r="B11" s="233" t="s">
        <v>6</v>
      </c>
      <c r="C11" s="282">
        <f>'C  - Beginning Base'!K9</f>
        <v>2167577.7226073206</v>
      </c>
      <c r="D11" s="282">
        <f>'D - Benefits'!F9</f>
        <v>20469.460519999993</v>
      </c>
      <c r="E11" s="282">
        <f>'F - FY 17-18 Alloc and Realloc'!Z10</f>
        <v>-124146.08992427116</v>
      </c>
      <c r="F11" s="282">
        <f>'F - FY 17-18 Alloc and Realloc'!AB10</f>
        <v>-386.37328412153568</v>
      </c>
      <c r="G11" s="362">
        <f>'E -  Criminal Justice Alloc'!F11</f>
        <v>1640.653142302305</v>
      </c>
      <c r="H11" s="242">
        <f>'G -  Preliminary 1% Reduction'!K9</f>
        <v>0</v>
      </c>
      <c r="I11" s="242">
        <f>'H -  $22M in new CAC Funding'!C8</f>
        <v>32964</v>
      </c>
      <c r="J11" s="235">
        <f t="shared" si="0"/>
        <v>2098119.3730612304</v>
      </c>
      <c r="K11" s="241"/>
    </row>
    <row r="12" spans="2:12" x14ac:dyDescent="0.45">
      <c r="B12" s="233" t="s">
        <v>7</v>
      </c>
      <c r="C12" s="282">
        <f>'C  - Beginning Base'!K10</f>
        <v>1859554.1830789465</v>
      </c>
      <c r="D12" s="282">
        <f>'D - Benefits'!F10</f>
        <v>21698.80506999998</v>
      </c>
      <c r="E12" s="282">
        <f>'F - FY 17-18 Alloc and Realloc'!Z11</f>
        <v>27999.634482854191</v>
      </c>
      <c r="F12" s="282">
        <f>'F - FY 17-18 Alloc and Realloc'!AB11</f>
        <v>-356.42714463897295</v>
      </c>
      <c r="G12" s="362">
        <f>'E -  Criminal Justice Alloc'!F12</f>
        <v>3691.4695701801857</v>
      </c>
      <c r="H12" s="242">
        <f>'G -  Preliminary 1% Reduction'!K10</f>
        <v>-150000</v>
      </c>
      <c r="I12" s="242">
        <f>'H -  $22M in new CAC Funding'!C9</f>
        <v>0</v>
      </c>
      <c r="J12" s="235">
        <f t="shared" si="0"/>
        <v>1762587.665057342</v>
      </c>
      <c r="K12" s="241"/>
      <c r="L12" s="281"/>
    </row>
    <row r="13" spans="2:12" x14ac:dyDescent="0.45">
      <c r="B13" s="233" t="s">
        <v>41</v>
      </c>
      <c r="C13" s="282">
        <f>'C  - Beginning Base'!K11</f>
        <v>38889572.807968318</v>
      </c>
      <c r="D13" s="282">
        <f>'D - Benefits'!F11</f>
        <v>-627558.83580000023</v>
      </c>
      <c r="E13" s="282">
        <f>'F - FY 17-18 Alloc and Realloc'!Z12</f>
        <v>1188741.1302494304</v>
      </c>
      <c r="F13" s="282">
        <f>'F - FY 17-18 Alloc and Realloc'!AB12</f>
        <v>-7228.4953000567593</v>
      </c>
      <c r="G13" s="362">
        <f>'E -  Criminal Justice Alloc'!F13</f>
        <v>116281.29146067586</v>
      </c>
      <c r="H13" s="242">
        <f>'G -  Preliminary 1% Reduction'!K11</f>
        <v>-132189.4</v>
      </c>
      <c r="I13" s="242">
        <f>'H -  $22M in new CAC Funding'!C10</f>
        <v>346377</v>
      </c>
      <c r="J13" s="235">
        <f t="shared" si="0"/>
        <v>39773995.498578377</v>
      </c>
      <c r="K13" s="241"/>
      <c r="L13" s="281"/>
    </row>
    <row r="14" spans="2:12" x14ac:dyDescent="0.45">
      <c r="B14" s="233" t="s">
        <v>8</v>
      </c>
      <c r="C14" s="282">
        <f>'C  - Beginning Base'!K12</f>
        <v>2633386.3111602566</v>
      </c>
      <c r="D14" s="282">
        <f>'D - Benefits'!F12</f>
        <v>39608.979420000018</v>
      </c>
      <c r="E14" s="282">
        <f>'F - FY 17-18 Alloc and Realloc'!Z13</f>
        <v>-159820.51354524976</v>
      </c>
      <c r="F14" s="282">
        <f>'F - FY 17-18 Alloc and Realloc'!AB13</f>
        <v>-467.91355153990361</v>
      </c>
      <c r="G14" s="362">
        <f>'E -  Criminal Justice Alloc'!F14</f>
        <v>8613.4289970871014</v>
      </c>
      <c r="H14" s="242">
        <f>'G -  Preliminary 1% Reduction'!K12</f>
        <v>-127676</v>
      </c>
      <c r="I14" s="242">
        <f>'H -  $22M in new CAC Funding'!C11</f>
        <v>0</v>
      </c>
      <c r="J14" s="235">
        <f t="shared" si="0"/>
        <v>2393644.2924805544</v>
      </c>
      <c r="K14" s="241"/>
      <c r="L14" s="281"/>
    </row>
    <row r="15" spans="2:12" x14ac:dyDescent="0.45">
      <c r="B15" s="233" t="s">
        <v>20</v>
      </c>
      <c r="C15" s="282">
        <f>'C  - Beginning Base'!K13</f>
        <v>6642102.4208760057</v>
      </c>
      <c r="D15" s="282">
        <f>'D - Benefits'!F13</f>
        <v>38696.042359999934</v>
      </c>
      <c r="E15" s="282">
        <f>'F - FY 17-18 Alloc and Realloc'!Z14</f>
        <v>-105821.18385376071</v>
      </c>
      <c r="F15" s="282">
        <f>'F - FY 17-18 Alloc and Realloc'!AB14</f>
        <v>-1202.1133431066139</v>
      </c>
      <c r="G15" s="362">
        <f>'E -  Criminal Justice Alloc'!F15</f>
        <v>44297.634842162239</v>
      </c>
      <c r="H15" s="242">
        <f>'G -  Preliminary 1% Reduction'!K13</f>
        <v>0</v>
      </c>
      <c r="I15" s="242">
        <f>'H -  $22M in new CAC Funding'!C12</f>
        <v>72078</v>
      </c>
      <c r="J15" s="235">
        <f t="shared" si="0"/>
        <v>6690150.8008813011</v>
      </c>
      <c r="K15" s="241"/>
      <c r="L15" s="281"/>
    </row>
    <row r="16" spans="2:12" x14ac:dyDescent="0.45">
      <c r="B16" s="233" t="s">
        <v>42</v>
      </c>
      <c r="C16" s="282">
        <f>'C  - Beginning Base'!K14</f>
        <v>48290024.775737174</v>
      </c>
      <c r="D16" s="282">
        <f>'D - Benefits'!F14</f>
        <v>-240621.76060000079</v>
      </c>
      <c r="E16" s="282">
        <f>'F - FY 17-18 Alloc and Realloc'!Z15</f>
        <v>-568450.71860606968</v>
      </c>
      <c r="F16" s="282">
        <f>'F - FY 17-18 Alloc and Realloc'!AB15</f>
        <v>-8671.502925864017</v>
      </c>
      <c r="G16" s="362">
        <f>'E -  Criminal Justice Alloc'!F16</f>
        <v>404626.08122030593</v>
      </c>
      <c r="H16" s="242">
        <f>'G -  Preliminary 1% Reduction'!K14</f>
        <v>0</v>
      </c>
      <c r="I16" s="242">
        <f>'H -  $22M in new CAC Funding'!C13</f>
        <v>419102</v>
      </c>
      <c r="J16" s="235">
        <f t="shared" si="0"/>
        <v>48296008.874825545</v>
      </c>
      <c r="K16" s="241"/>
      <c r="L16" s="281"/>
    </row>
    <row r="17" spans="2:12" x14ac:dyDescent="0.45">
      <c r="B17" s="233" t="s">
        <v>9</v>
      </c>
      <c r="C17" s="282">
        <f>'C  - Beginning Base'!K15</f>
        <v>1863178.8847137669</v>
      </c>
      <c r="D17" s="282">
        <f>'D - Benefits'!F15</f>
        <v>48932.707799999967</v>
      </c>
      <c r="E17" s="282">
        <f>'F - FY 17-18 Alloc and Realloc'!Z16</f>
        <v>-9648.2229136459355</v>
      </c>
      <c r="F17" s="282">
        <f>'F - FY 17-18 Alloc and Realloc'!AB16</f>
        <v>-354.48793917919608</v>
      </c>
      <c r="G17" s="362">
        <f>'E -  Criminal Justice Alloc'!F17</f>
        <v>2255.8980706656689</v>
      </c>
      <c r="H17" s="242">
        <f>'G -  Preliminary 1% Reduction'!K15</f>
        <v>0</v>
      </c>
      <c r="I17" s="242">
        <f>'H -  $22M in new CAC Funding'!C14</f>
        <v>0</v>
      </c>
      <c r="J17" s="235">
        <f t="shared" si="0"/>
        <v>1904364.7797316075</v>
      </c>
      <c r="K17" s="241"/>
      <c r="L17" s="281"/>
    </row>
    <row r="18" spans="2:12" x14ac:dyDescent="0.45">
      <c r="B18" s="233" t="s">
        <v>21</v>
      </c>
      <c r="C18" s="282">
        <f>'C  - Beginning Base'!K16</f>
        <v>6248744.2147544371</v>
      </c>
      <c r="D18" s="282">
        <f>'D - Benefits'!F16</f>
        <v>92630.888820000066</v>
      </c>
      <c r="E18" s="282">
        <f>'F - FY 17-18 Alloc and Realloc'!Z17</f>
        <v>-16433.494788917364</v>
      </c>
      <c r="F18" s="282">
        <f>'F - FY 17-18 Alloc and Realloc'!AB17</f>
        <v>-1123.6026630499355</v>
      </c>
      <c r="G18" s="362">
        <f>'E -  Criminal Justice Alloc'!F18</f>
        <v>51065.329054159243</v>
      </c>
      <c r="H18" s="242">
        <f>'G -  Preliminary 1% Reduction'!K16</f>
        <v>0</v>
      </c>
      <c r="I18" s="242">
        <f>'H -  $22M in new CAC Funding'!C15</f>
        <v>0</v>
      </c>
      <c r="J18" s="235">
        <f t="shared" si="0"/>
        <v>6374883.335176629</v>
      </c>
      <c r="K18" s="241"/>
      <c r="L18" s="281"/>
    </row>
    <row r="19" spans="2:12" x14ac:dyDescent="0.45">
      <c r="B19" s="233" t="s">
        <v>22</v>
      </c>
      <c r="C19" s="282">
        <f>'C  - Beginning Base'!K17</f>
        <v>8619427.6346682459</v>
      </c>
      <c r="D19" s="282">
        <f>'D - Benefits'!F17</f>
        <v>-31042.251599999963</v>
      </c>
      <c r="E19" s="282">
        <f>'F - FY 17-18 Alloc and Realloc'!Z18</f>
        <v>34558.18784629507</v>
      </c>
      <c r="F19" s="282">
        <f>'F - FY 17-18 Alloc and Realloc'!AB18</f>
        <v>-1499.6117103063198</v>
      </c>
      <c r="G19" s="362">
        <f>'E -  Criminal Justice Alloc'!F19</f>
        <v>41221.41020034541</v>
      </c>
      <c r="H19" s="242">
        <f>'G -  Preliminary 1% Reduction'!K17</f>
        <v>0</v>
      </c>
      <c r="I19" s="242">
        <f>'H -  $22M in new CAC Funding'!C16</f>
        <v>77157</v>
      </c>
      <c r="J19" s="235">
        <f t="shared" si="0"/>
        <v>8739822.3694045823</v>
      </c>
      <c r="K19" s="241"/>
      <c r="L19" s="281"/>
    </row>
    <row r="20" spans="2:12" x14ac:dyDescent="0.45">
      <c r="B20" s="233" t="s">
        <v>10</v>
      </c>
      <c r="C20" s="282">
        <f>'C  - Beginning Base'!K18</f>
        <v>2037844.0505055359</v>
      </c>
      <c r="D20" s="282">
        <f>'D - Benefits'!F18</f>
        <v>21671.760109999985</v>
      </c>
      <c r="E20" s="282">
        <f>'F - FY 17-18 Alloc and Realloc'!Z19</f>
        <v>-14882.855868614453</v>
      </c>
      <c r="F20" s="282">
        <f>'F - FY 17-18 Alloc and Realloc'!AB19</f>
        <v>-349.59959709037037</v>
      </c>
      <c r="G20" s="362">
        <f>'E -  Criminal Justice Alloc'!F20</f>
        <v>5947.367640845855</v>
      </c>
      <c r="H20" s="242">
        <f>'G -  Preliminary 1% Reduction'!K18</f>
        <v>0</v>
      </c>
      <c r="I20" s="242">
        <f>'H -  $22M in new CAC Funding'!C17</f>
        <v>0</v>
      </c>
      <c r="J20" s="235">
        <f t="shared" si="0"/>
        <v>2050230.7227906769</v>
      </c>
      <c r="K20" s="241"/>
      <c r="L20" s="281"/>
    </row>
    <row r="21" spans="2:12" x14ac:dyDescent="0.45">
      <c r="B21" s="233" t="s">
        <v>43</v>
      </c>
      <c r="C21" s="282">
        <f>'C  - Beginning Base'!K19</f>
        <v>46077543.755804949</v>
      </c>
      <c r="D21" s="282">
        <f>'D - Benefits'!F19</f>
        <v>-866725.41280000063</v>
      </c>
      <c r="E21" s="282">
        <f>'F - FY 17-18 Alloc and Realloc'!Z20</f>
        <v>818352.56364450604</v>
      </c>
      <c r="F21" s="282">
        <f>'F - FY 17-18 Alloc and Realloc'!AB20</f>
        <v>-8309.3352856486399</v>
      </c>
      <c r="G21" s="362">
        <f>'E -  Criminal Justice Alloc'!F21</f>
        <v>335103.40431524575</v>
      </c>
      <c r="H21" s="242">
        <f>'G -  Preliminary 1% Reduction'!K19</f>
        <v>-74550</v>
      </c>
      <c r="I21" s="242">
        <f>'H -  $22M in new CAC Funding'!C18</f>
        <v>411043</v>
      </c>
      <c r="J21" s="235">
        <f t="shared" si="0"/>
        <v>46692457.975679055</v>
      </c>
      <c r="K21" s="241"/>
      <c r="L21" s="281"/>
    </row>
    <row r="22" spans="2:12" x14ac:dyDescent="0.45">
      <c r="B22" s="233" t="s">
        <v>23</v>
      </c>
      <c r="C22" s="282">
        <f>'C  - Beginning Base'!K20</f>
        <v>6773927.2601397354</v>
      </c>
      <c r="D22" s="282">
        <f>'D - Benefits'!F20</f>
        <v>105068.60360000003</v>
      </c>
      <c r="E22" s="282">
        <f>'F - FY 17-18 Alloc and Realloc'!Z21</f>
        <v>194174.62658696063</v>
      </c>
      <c r="F22" s="282">
        <f>'F - FY 17-18 Alloc and Realloc'!AB21</f>
        <v>-1195.8538936081193</v>
      </c>
      <c r="G22" s="362">
        <f>'E -  Criminal Justice Alloc'!F22</f>
        <v>61319.411193548643</v>
      </c>
      <c r="H22" s="242">
        <f>'G -  Preliminary 1% Reduction'!K20</f>
        <v>0</v>
      </c>
      <c r="I22" s="242">
        <f>'H -  $22M in new CAC Funding'!C19</f>
        <v>134166</v>
      </c>
      <c r="J22" s="235">
        <f t="shared" si="0"/>
        <v>7267460.0476266369</v>
      </c>
      <c r="K22" s="241"/>
      <c r="L22" s="281"/>
    </row>
    <row r="23" spans="2:12" x14ac:dyDescent="0.45">
      <c r="B23" s="233" t="s">
        <v>24</v>
      </c>
      <c r="C23" s="282">
        <f>'C  - Beginning Base'!K21</f>
        <v>3325218.7526766937</v>
      </c>
      <c r="D23" s="282">
        <f>'D - Benefits'!F21</f>
        <v>48157.437810000003</v>
      </c>
      <c r="E23" s="282">
        <f>'F - FY 17-18 Alloc and Realloc'!Z22</f>
        <v>34075.348416245135</v>
      </c>
      <c r="F23" s="282">
        <f>'F - FY 17-18 Alloc and Realloc'!AB22</f>
        <v>-591.20821460891727</v>
      </c>
      <c r="G23" s="362">
        <f>'E -  Criminal Justice Alloc'!F23</f>
        <v>12509.980210055075</v>
      </c>
      <c r="H23" s="242">
        <f>'G -  Preliminary 1% Reduction'!K21</f>
        <v>0</v>
      </c>
      <c r="I23" s="242">
        <f>'H -  $22M in new CAC Funding'!C20</f>
        <v>0</v>
      </c>
      <c r="J23" s="235">
        <f t="shared" si="0"/>
        <v>3419370.310898385</v>
      </c>
      <c r="K23" s="241"/>
      <c r="L23" s="281"/>
    </row>
    <row r="24" spans="2:12" x14ac:dyDescent="0.45">
      <c r="B24" s="233" t="s">
        <v>11</v>
      </c>
      <c r="C24" s="282">
        <f>'C  - Beginning Base'!K22</f>
        <v>2252270.3388075093</v>
      </c>
      <c r="D24" s="282">
        <f>'D - Benefits'!F22</f>
        <v>19933.095130000012</v>
      </c>
      <c r="E24" s="282">
        <f>'F - FY 17-18 Alloc and Realloc'!Z23</f>
        <v>-217457.47344362427</v>
      </c>
      <c r="F24" s="282">
        <f>'F - FY 17-18 Alloc and Realloc'!AB23</f>
        <v>94309.838867491577</v>
      </c>
      <c r="G24" s="362">
        <f>'E -  Criminal Justice Alloc'!F24</f>
        <v>6767.6942119970072</v>
      </c>
      <c r="H24" s="242">
        <f>'G -  Preliminary 1% Reduction'!K22</f>
        <v>-5987.23</v>
      </c>
      <c r="I24" s="242">
        <f>'H -  $22M in new CAC Funding'!C21</f>
        <v>0</v>
      </c>
      <c r="J24" s="235">
        <f t="shared" si="0"/>
        <v>2149836.2635733732</v>
      </c>
      <c r="K24" s="241"/>
      <c r="L24" s="281"/>
    </row>
    <row r="25" spans="2:12" x14ac:dyDescent="0.45">
      <c r="B25" s="233" t="s">
        <v>54</v>
      </c>
      <c r="C25" s="282">
        <f>'C  - Beginning Base'!K23</f>
        <v>531344107.93305546</v>
      </c>
      <c r="D25" s="282">
        <f>'D - Benefits'!F23</f>
        <v>-220591.75770000147</v>
      </c>
      <c r="E25" s="282">
        <f>'F - FY 17-18 Alloc and Realloc'!Z24</f>
        <v>1019170.2575740218</v>
      </c>
      <c r="F25" s="282">
        <f>'F - FY 17-18 Alloc and Realloc'!AB24</f>
        <v>-92780.965737221617</v>
      </c>
      <c r="G25" s="362">
        <f>'E -  Criminal Justice Alloc'!F25</f>
        <v>3128520.4607277079</v>
      </c>
      <c r="H25" s="242">
        <f>'G -  Preliminary 1% Reduction'!K23</f>
        <v>-4351971.9800000004</v>
      </c>
      <c r="I25" s="242">
        <f>'H -  $22M in new CAC Funding'!C22</f>
        <v>10529583</v>
      </c>
      <c r="J25" s="235">
        <f t="shared" si="0"/>
        <v>541356036.94791985</v>
      </c>
      <c r="K25" s="241"/>
      <c r="L25" s="281"/>
    </row>
    <row r="26" spans="2:12" x14ac:dyDescent="0.45">
      <c r="B26" s="233" t="s">
        <v>25</v>
      </c>
      <c r="C26" s="282">
        <f>'C  - Beginning Base'!K24</f>
        <v>7708366.0686632534</v>
      </c>
      <c r="D26" s="282">
        <f>'D - Benefits'!F24</f>
        <v>32253.710399999974</v>
      </c>
      <c r="E26" s="282">
        <f>'F - FY 17-18 Alloc and Realloc'!Z25</f>
        <v>-200687.89002984867</v>
      </c>
      <c r="F26" s="282">
        <f>'F - FY 17-18 Alloc and Realloc'!AB25</f>
        <v>-1336.8522538704601</v>
      </c>
      <c r="G26" s="362">
        <f>'E -  Criminal Justice Alloc'!F26</f>
        <v>43887.471556586657</v>
      </c>
      <c r="H26" s="242">
        <f>'G -  Preliminary 1% Reduction'!K24</f>
        <v>0</v>
      </c>
      <c r="I26" s="242">
        <f>'H -  $22M in new CAC Funding'!C23</f>
        <v>94929</v>
      </c>
      <c r="J26" s="235">
        <f t="shared" si="0"/>
        <v>7677411.5083361212</v>
      </c>
      <c r="K26" s="241"/>
      <c r="L26" s="281"/>
    </row>
    <row r="27" spans="2:12" x14ac:dyDescent="0.45">
      <c r="B27" s="233" t="s">
        <v>26</v>
      </c>
      <c r="C27" s="282">
        <f>'C  - Beginning Base'!K25</f>
        <v>12036922.048371805</v>
      </c>
      <c r="D27" s="282">
        <f>'D - Benefits'!F25</f>
        <v>158933.2621985873</v>
      </c>
      <c r="E27" s="282">
        <f>'F - FY 17-18 Alloc and Realloc'!Z26</f>
        <v>-441145.43247250572</v>
      </c>
      <c r="F27" s="282">
        <f>'F - FY 17-18 Alloc and Realloc'!AB26</f>
        <v>-2190.6445579397218</v>
      </c>
      <c r="G27" s="362">
        <f>'E -  Criminal Justice Alloc'!F27</f>
        <v>17431.93963696199</v>
      </c>
      <c r="H27" s="242">
        <f>'G -  Preliminary 1% Reduction'!K25</f>
        <v>0</v>
      </c>
      <c r="I27" s="242">
        <f>'H -  $22M in new CAC Funding'!C24</f>
        <v>0</v>
      </c>
      <c r="J27" s="235">
        <f t="shared" si="0"/>
        <v>11769951.173176909</v>
      </c>
      <c r="K27" s="241"/>
      <c r="L27" s="281"/>
    </row>
    <row r="28" spans="2:12" x14ac:dyDescent="0.45">
      <c r="B28" s="233" t="s">
        <v>12</v>
      </c>
      <c r="C28" s="282">
        <f>'C  - Beginning Base'!K26</f>
        <v>1125254.3619969441</v>
      </c>
      <c r="D28" s="282">
        <f>'D - Benefits'!F26</f>
        <v>30528.042109999995</v>
      </c>
      <c r="E28" s="282">
        <f>'F - FY 17-18 Alloc and Realloc'!Z27</f>
        <v>6808.2457449226495</v>
      </c>
      <c r="F28" s="282">
        <f>'F - FY 17-18 Alloc and Realloc'!AB27</f>
        <v>75746.644373414572</v>
      </c>
      <c r="G28" s="362">
        <f>'E -  Criminal Justice Alloc'!F28</f>
        <v>4511.7961413313378</v>
      </c>
      <c r="H28" s="242">
        <f>'G -  Preliminary 1% Reduction'!K26</f>
        <v>0</v>
      </c>
      <c r="I28" s="242">
        <f>'H -  $22M in new CAC Funding'!C25</f>
        <v>0</v>
      </c>
      <c r="J28" s="235">
        <f t="shared" si="0"/>
        <v>1242849.0903666127</v>
      </c>
      <c r="K28" s="241"/>
      <c r="L28" s="281"/>
    </row>
    <row r="29" spans="2:12" x14ac:dyDescent="0.45">
      <c r="B29" s="233" t="s">
        <v>27</v>
      </c>
      <c r="C29" s="282">
        <f>'C  - Beginning Base'!K27</f>
        <v>5494484.9939492727</v>
      </c>
      <c r="D29" s="282">
        <f>'D - Benefits'!F27</f>
        <v>-10851.154499999986</v>
      </c>
      <c r="E29" s="282">
        <f>'F - FY 17-18 Alloc and Realloc'!Z28</f>
        <v>-25472.60026244109</v>
      </c>
      <c r="F29" s="282">
        <f>'F - FY 17-18 Alloc and Realloc'!AB28</f>
        <v>-959.03496234162424</v>
      </c>
      <c r="G29" s="362">
        <f>'E -  Criminal Justice Alloc'!F29</f>
        <v>39785.838700830893</v>
      </c>
      <c r="H29" s="242">
        <f>'G -  Preliminary 1% Reduction'!K27</f>
        <v>0</v>
      </c>
      <c r="I29" s="242">
        <f>'H -  $22M in new CAC Funding'!C26</f>
        <v>0</v>
      </c>
      <c r="J29" s="235">
        <f t="shared" si="0"/>
        <v>5496988.0429253215</v>
      </c>
      <c r="K29" s="241"/>
      <c r="L29" s="281"/>
    </row>
    <row r="30" spans="2:12" x14ac:dyDescent="0.45">
      <c r="B30" s="233" t="s">
        <v>28</v>
      </c>
      <c r="C30" s="282">
        <f>'C  - Beginning Base'!K28</f>
        <v>11970524.806028008</v>
      </c>
      <c r="D30" s="282">
        <f>'D - Benefits'!F28</f>
        <v>-245209.0907</v>
      </c>
      <c r="E30" s="282">
        <f>'F - FY 17-18 Alloc and Realloc'!Z29</f>
        <v>-295321.3999860445</v>
      </c>
      <c r="F30" s="282">
        <f>'F - FY 17-18 Alloc and Realloc'!AB29</f>
        <v>-2059.7973011205631</v>
      </c>
      <c r="G30" s="362">
        <f>'E -  Criminal Justice Alloc'!F30</f>
        <v>105206.88275013531</v>
      </c>
      <c r="H30" s="242">
        <f>'G -  Preliminary 1% Reduction'!K28</f>
        <v>-107734</v>
      </c>
      <c r="I30" s="242">
        <f>'H -  $22M in new CAC Funding'!C27</f>
        <v>133493</v>
      </c>
      <c r="J30" s="235">
        <f t="shared" si="0"/>
        <v>11558900.400790978</v>
      </c>
      <c r="K30" s="241"/>
      <c r="L30" s="281"/>
    </row>
    <row r="31" spans="2:12" x14ac:dyDescent="0.45">
      <c r="B31" s="233" t="s">
        <v>13</v>
      </c>
      <c r="C31" s="282">
        <f>'C  - Beginning Base'!K29</f>
        <v>882073.45721686026</v>
      </c>
      <c r="D31" s="282">
        <f>'D - Benefits'!F29</f>
        <v>4474.5910200000108</v>
      </c>
      <c r="E31" s="282">
        <f>'F - FY 17-18 Alloc and Realloc'!Z30</f>
        <v>-21003.649252567517</v>
      </c>
      <c r="F31" s="282">
        <f>'F - FY 17-18 Alloc and Realloc'!AB30</f>
        <v>3186.8857444176683</v>
      </c>
      <c r="G31" s="362">
        <f>'E -  Criminal Justice Alloc'!F31</f>
        <v>2460.979713453457</v>
      </c>
      <c r="H31" s="242">
        <f>'G -  Preliminary 1% Reduction'!K29</f>
        <v>0</v>
      </c>
      <c r="I31" s="242">
        <f>'H -  $22M in new CAC Funding'!C28</f>
        <v>0</v>
      </c>
      <c r="J31" s="235">
        <f t="shared" si="0"/>
        <v>871192.26444216387</v>
      </c>
      <c r="K31" s="241"/>
      <c r="L31" s="281"/>
    </row>
    <row r="32" spans="2:12" x14ac:dyDescent="0.45">
      <c r="B32" s="233" t="s">
        <v>14</v>
      </c>
      <c r="C32" s="282">
        <f>'C  - Beginning Base'!K30</f>
        <v>1711215.4967572622</v>
      </c>
      <c r="D32" s="282">
        <f>'D - Benefits'!F30</f>
        <v>66470.506100000013</v>
      </c>
      <c r="E32" s="282">
        <f>'F - FY 17-18 Alloc and Realloc'!Z31</f>
        <v>-20640.858698980679</v>
      </c>
      <c r="F32" s="282">
        <f>'F - FY 17-18 Alloc and Realloc'!AB31</f>
        <v>124224.73404901498</v>
      </c>
      <c r="G32" s="362">
        <f>'E -  Criminal Justice Alloc'!F32</f>
        <v>2666.0613562412454</v>
      </c>
      <c r="H32" s="242">
        <f>'G -  Preliminary 1% Reduction'!K30</f>
        <v>0</v>
      </c>
      <c r="I32" s="242">
        <f>'H -  $22M in new CAC Funding'!C29</f>
        <v>0</v>
      </c>
      <c r="J32" s="235">
        <f t="shared" si="0"/>
        <v>1883935.9395635379</v>
      </c>
      <c r="K32" s="241"/>
      <c r="L32" s="281"/>
    </row>
    <row r="33" spans="2:12" x14ac:dyDescent="0.45">
      <c r="B33" s="233" t="s">
        <v>44</v>
      </c>
      <c r="C33" s="282">
        <f>'C  - Beginning Base'!K31</f>
        <v>17441720.860958714</v>
      </c>
      <c r="D33" s="282">
        <f>'D - Benefits'!F31</f>
        <v>42356.832089999953</v>
      </c>
      <c r="E33" s="282">
        <f>'F - FY 17-18 Alloc and Realloc'!Z32</f>
        <v>193760.98299856251</v>
      </c>
      <c r="F33" s="282">
        <f>'F - FY 17-18 Alloc and Realloc'!AB32</f>
        <v>-3088.0644204237519</v>
      </c>
      <c r="G33" s="362">
        <f>'E -  Criminal Justice Alloc'!F33</f>
        <v>35274.042559499554</v>
      </c>
      <c r="H33" s="242">
        <f>'G -  Preliminary 1% Reduction'!K31</f>
        <v>0</v>
      </c>
      <c r="I33" s="242">
        <f>'H -  $22M in new CAC Funding'!C30</f>
        <v>121417</v>
      </c>
      <c r="J33" s="235">
        <f t="shared" si="0"/>
        <v>17831441.654186353</v>
      </c>
      <c r="K33" s="241"/>
      <c r="L33" s="281"/>
    </row>
    <row r="34" spans="2:12" x14ac:dyDescent="0.45">
      <c r="B34" s="233" t="s">
        <v>29</v>
      </c>
      <c r="C34" s="282">
        <f>'C  - Beginning Base'!K32</f>
        <v>7474856.1134785097</v>
      </c>
      <c r="D34" s="282">
        <f>'D - Benefits'!F32</f>
        <v>26036.597200000055</v>
      </c>
      <c r="E34" s="282">
        <f>'F - FY 17-18 Alloc and Realloc'!Z33</f>
        <v>-50148.218582349364</v>
      </c>
      <c r="F34" s="282">
        <f>'F - FY 17-18 Alloc and Realloc'!AB33</f>
        <v>-1261.5807767915126</v>
      </c>
      <c r="G34" s="362">
        <f>'E -  Criminal Justice Alloc'!F34</f>
        <v>15586.204851871897</v>
      </c>
      <c r="H34" s="242">
        <f>'G -  Preliminary 1% Reduction'!K32</f>
        <v>-317287</v>
      </c>
      <c r="I34" s="242">
        <f>'H -  $22M in new CAC Funding'!C31</f>
        <v>52932</v>
      </c>
      <c r="J34" s="235">
        <f t="shared" si="0"/>
        <v>7200714.1161712408</v>
      </c>
      <c r="K34" s="241"/>
      <c r="L34" s="281"/>
    </row>
    <row r="35" spans="2:12" x14ac:dyDescent="0.45">
      <c r="B35" s="233" t="s">
        <v>30</v>
      </c>
      <c r="C35" s="282">
        <f>'C  - Beginning Base'!K33</f>
        <v>4929174.6405712646</v>
      </c>
      <c r="D35" s="282">
        <f>'D - Benefits'!F33</f>
        <v>119536.26580000002</v>
      </c>
      <c r="E35" s="282">
        <f>'F - FY 17-18 Alloc and Realloc'!Z34</f>
        <v>134931.30536255153</v>
      </c>
      <c r="F35" s="282">
        <f>'F - FY 17-18 Alloc and Realloc'!AB34</f>
        <v>-829.16355545713327</v>
      </c>
      <c r="G35" s="362">
        <f>'E -  Criminal Justice Alloc'!F35</f>
        <v>2460.979713453457</v>
      </c>
      <c r="H35" s="242">
        <f>'G -  Preliminary 1% Reduction'!K33</f>
        <v>0</v>
      </c>
      <c r="I35" s="242">
        <f>'H -  $22M in new CAC Funding'!C32</f>
        <v>0</v>
      </c>
      <c r="J35" s="235">
        <f t="shared" si="0"/>
        <v>5185274.0278918128</v>
      </c>
      <c r="K35" s="241"/>
      <c r="L35" s="281"/>
    </row>
    <row r="36" spans="2:12" x14ac:dyDescent="0.45">
      <c r="B36" s="233" t="s">
        <v>55</v>
      </c>
      <c r="C36" s="282">
        <f>'C  - Beginning Base'!K34</f>
        <v>140624898.91935867</v>
      </c>
      <c r="D36" s="282">
        <f>'D - Benefits'!F34</f>
        <v>-1248481.8844000031</v>
      </c>
      <c r="E36" s="282">
        <f>'F - FY 17-18 Alloc and Realloc'!Z35</f>
        <v>-3113896.4777875282</v>
      </c>
      <c r="F36" s="282">
        <f>'F - FY 17-18 Alloc and Realloc'!AB35</f>
        <v>-24189.103411594479</v>
      </c>
      <c r="G36" s="362">
        <f>'E -  Criminal Justice Alloc'!F36</f>
        <v>384528.08022710274</v>
      </c>
      <c r="H36" s="242">
        <f>'G -  Preliminary 1% Reduction'!K34</f>
        <v>0</v>
      </c>
      <c r="I36" s="242">
        <f>'H -  $22M in new CAC Funding'!C33</f>
        <v>830179</v>
      </c>
      <c r="J36" s="235">
        <f t="shared" si="0"/>
        <v>137453038.53398666</v>
      </c>
      <c r="K36" s="241"/>
      <c r="L36" s="281"/>
    </row>
    <row r="37" spans="2:12" x14ac:dyDescent="0.45">
      <c r="B37" s="233" t="s">
        <v>31</v>
      </c>
      <c r="C37" s="282">
        <f>'C  - Beginning Base'!K35</f>
        <v>15552391.674192071</v>
      </c>
      <c r="D37" s="282">
        <f>'D - Benefits'!F35</f>
        <v>199413.25988999987</v>
      </c>
      <c r="E37" s="282">
        <f>'F - FY 17-18 Alloc and Realloc'!Z36</f>
        <v>364803.60421868227</v>
      </c>
      <c r="F37" s="282">
        <f>'F - FY 17-18 Alloc and Realloc'!AB36</f>
        <v>-2829.3152599021687</v>
      </c>
      <c r="G37" s="362">
        <f>'E -  Criminal Justice Alloc'!F37</f>
        <v>44502.716484950019</v>
      </c>
      <c r="H37" s="242">
        <f>'G -  Preliminary 1% Reduction'!K35</f>
        <v>-3993.4700000000003</v>
      </c>
      <c r="I37" s="242">
        <f>'H -  $22M in new CAC Funding'!C34</f>
        <v>160260</v>
      </c>
      <c r="J37" s="235">
        <f t="shared" si="0"/>
        <v>16314548.469525801</v>
      </c>
      <c r="K37" s="241"/>
      <c r="L37" s="281"/>
    </row>
    <row r="38" spans="2:12" x14ac:dyDescent="0.45">
      <c r="B38" s="233" t="s">
        <v>15</v>
      </c>
      <c r="C38" s="282">
        <f>'C  - Beginning Base'!K36</f>
        <v>1238998.8231528068</v>
      </c>
      <c r="D38" s="282">
        <f>'D - Benefits'!F36</f>
        <v>8832.6476199999997</v>
      </c>
      <c r="E38" s="282">
        <f>'F - FY 17-18 Alloc and Realloc'!Z37</f>
        <v>-160301.23318708537</v>
      </c>
      <c r="F38" s="282">
        <f>'F - FY 17-18 Alloc and Realloc'!AB37</f>
        <v>-203.42529151992639</v>
      </c>
      <c r="G38" s="362">
        <f>'E -  Criminal Justice Alloc'!F38</f>
        <v>1230.4898567267285</v>
      </c>
      <c r="H38" s="242">
        <f>'G -  Preliminary 1% Reduction'!K36</f>
        <v>0</v>
      </c>
      <c r="I38" s="242">
        <f>'H -  $22M in new CAC Funding'!C35</f>
        <v>0</v>
      </c>
      <c r="J38" s="235">
        <f t="shared" si="0"/>
        <v>1088557.3021509284</v>
      </c>
      <c r="K38" s="241"/>
      <c r="L38" s="281"/>
    </row>
    <row r="39" spans="2:12" x14ac:dyDescent="0.45">
      <c r="B39" s="233" t="s">
        <v>56</v>
      </c>
      <c r="C39" s="282">
        <f>'C  - Beginning Base'!K37</f>
        <v>83672042.501837775</v>
      </c>
      <c r="D39" s="282">
        <f>'D - Benefits'!F37</f>
        <v>1370087.1805999987</v>
      </c>
      <c r="E39" s="282">
        <f>'F - FY 17-18 Alloc and Realloc'!Z38</f>
        <v>2540906.2395058963</v>
      </c>
      <c r="F39" s="282">
        <f>'F - FY 17-18 Alloc and Realloc'!AB38</f>
        <v>-15525.622093651073</v>
      </c>
      <c r="G39" s="362">
        <f>'E -  Criminal Justice Alloc'!F39</f>
        <v>915074.29011911049</v>
      </c>
      <c r="H39" s="242">
        <f>'G -  Preliminary 1% Reduction'!K37</f>
        <v>0</v>
      </c>
      <c r="I39" s="242">
        <f>'H -  $22M in new CAC Funding'!C36</f>
        <v>1571901</v>
      </c>
      <c r="J39" s="235">
        <f t="shared" ref="J39:J64" si="1">SUM(C39:I39)</f>
        <v>90054485.589969143</v>
      </c>
      <c r="K39" s="241"/>
      <c r="L39" s="281"/>
    </row>
    <row r="40" spans="2:12" x14ac:dyDescent="0.45">
      <c r="B40" s="233" t="s">
        <v>57</v>
      </c>
      <c r="C40" s="282">
        <f>'C  - Beginning Base'!K38</f>
        <v>74858578.227151543</v>
      </c>
      <c r="D40" s="282">
        <f>'D - Benefits'!F38</f>
        <v>-19334.885199999604</v>
      </c>
      <c r="E40" s="282">
        <f>'F - FY 17-18 Alloc and Realloc'!Z39</f>
        <v>1033549.1481632236</v>
      </c>
      <c r="F40" s="282">
        <f>'F - FY 17-18 Alloc and Realloc'!AB39</f>
        <v>-13494.116586586986</v>
      </c>
      <c r="G40" s="362">
        <f>'E -  Criminal Justice Alloc'!F40</f>
        <v>143557.14995145169</v>
      </c>
      <c r="H40" s="242">
        <f>'G -  Preliminary 1% Reduction'!K38</f>
        <v>-428761.96</v>
      </c>
      <c r="I40" s="242">
        <f>'H -  $22M in new CAC Funding'!C37</f>
        <v>814561</v>
      </c>
      <c r="J40" s="235">
        <f t="shared" si="1"/>
        <v>76388654.563479662</v>
      </c>
      <c r="K40" s="241"/>
      <c r="L40" s="281"/>
    </row>
    <row r="41" spans="2:12" x14ac:dyDescent="0.45">
      <c r="B41" s="233" t="s">
        <v>16</v>
      </c>
      <c r="C41" s="282">
        <f>'C  - Beginning Base'!K39</f>
        <v>2357688.875550664</v>
      </c>
      <c r="D41" s="282">
        <f>'D - Benefits'!F39</f>
        <v>8326.0546999999933</v>
      </c>
      <c r="E41" s="282">
        <f>'F - FY 17-18 Alloc and Realloc'!Z40</f>
        <v>105382.35740071695</v>
      </c>
      <c r="F41" s="282">
        <f>'F - FY 17-18 Alloc and Realloc'!AB40</f>
        <v>-461.27914360307892</v>
      </c>
      <c r="G41" s="362">
        <f>'E -  Criminal Justice Alloc'!F41</f>
        <v>8818.5106398748885</v>
      </c>
      <c r="H41" s="242">
        <f>'G -  Preliminary 1% Reduction'!K39</f>
        <v>0</v>
      </c>
      <c r="I41" s="242">
        <f>'H -  $22M in new CAC Funding'!C38</f>
        <v>19999</v>
      </c>
      <c r="J41" s="235">
        <f t="shared" si="1"/>
        <v>2499753.5191476527</v>
      </c>
      <c r="K41" s="241"/>
      <c r="L41" s="281"/>
    </row>
    <row r="42" spans="2:12" x14ac:dyDescent="0.45">
      <c r="B42" s="233" t="s">
        <v>58</v>
      </c>
      <c r="C42" s="282">
        <f>'C  - Beginning Base'!K40</f>
        <v>94053222.340519607</v>
      </c>
      <c r="D42" s="282">
        <f>'D - Benefits'!F40</f>
        <v>608728.96519999881</v>
      </c>
      <c r="E42" s="282">
        <f>'F - FY 17-18 Alloc and Realloc'!Z41</f>
        <v>1683826.2975337468</v>
      </c>
      <c r="F42" s="282">
        <f>'F - FY 17-18 Alloc and Realloc'!AB41</f>
        <v>-16776.204805606772</v>
      </c>
      <c r="G42" s="362">
        <f>'E -  Criminal Justice Alloc'!F42</f>
        <v>915689.53504747397</v>
      </c>
      <c r="H42" s="242">
        <f>'G -  Preliminary 1% Reduction'!K40</f>
        <v>-697432.88</v>
      </c>
      <c r="I42" s="242">
        <f>'H -  $22M in new CAC Funding'!C39</f>
        <v>1550542</v>
      </c>
      <c r="J42" s="235">
        <f t="shared" si="1"/>
        <v>98097800.053495213</v>
      </c>
      <c r="K42" s="241"/>
      <c r="L42" s="281"/>
    </row>
    <row r="43" spans="2:12" x14ac:dyDescent="0.45">
      <c r="B43" s="233" t="s">
        <v>59</v>
      </c>
      <c r="C43" s="282">
        <f>'C  - Beginning Base'!K41</f>
        <v>134855407.21509281</v>
      </c>
      <c r="D43" s="282">
        <f>'D - Benefits'!F41</f>
        <v>1879544.0492999991</v>
      </c>
      <c r="E43" s="282">
        <f>'F - FY 17-18 Alloc and Realloc'!Z42</f>
        <v>-1770123.3020627368</v>
      </c>
      <c r="F43" s="282">
        <f>'F - FY 17-18 Alloc and Realloc'!AB42</f>
        <v>-24293.101840124196</v>
      </c>
      <c r="G43" s="362">
        <f>'E -  Criminal Justice Alloc'!F43</f>
        <v>495887.41226087167</v>
      </c>
      <c r="H43" s="242">
        <f>'G -  Preliminary 1% Reduction'!K41</f>
        <v>0</v>
      </c>
      <c r="I43" s="242">
        <f>'H -  $22M in new CAC Funding'!C40</f>
        <v>753988</v>
      </c>
      <c r="J43" s="235">
        <f t="shared" si="1"/>
        <v>136190410.27275077</v>
      </c>
      <c r="K43" s="241"/>
      <c r="L43" s="281"/>
    </row>
    <row r="44" spans="2:12" x14ac:dyDescent="0.45">
      <c r="B44" s="233" t="s">
        <v>60</v>
      </c>
      <c r="C44" s="282">
        <f>'C  - Beginning Base'!K42</f>
        <v>56752139.189276263</v>
      </c>
      <c r="D44" s="282">
        <f>'D - Benefits'!F42</f>
        <v>314519.33000000007</v>
      </c>
      <c r="E44" s="282">
        <f>'F - FY 17-18 Alloc and Realloc'!Z43</f>
        <v>-5262206.5728568807</v>
      </c>
      <c r="F44" s="282">
        <f>'F - FY 17-18 Alloc and Realloc'!AB43</f>
        <v>-9574.9982711202338</v>
      </c>
      <c r="G44" s="362">
        <f>'E -  Criminal Justice Alloc'!F44</f>
        <v>45323.043056101174</v>
      </c>
      <c r="H44" s="242">
        <f>'G -  Preliminary 1% Reduction'!K42</f>
        <v>-385692.65</v>
      </c>
      <c r="I44" s="242">
        <f>'H -  $22M in new CAC Funding'!C41</f>
        <v>460215</v>
      </c>
      <c r="J44" s="235">
        <f t="shared" si="1"/>
        <v>51914722.34120436</v>
      </c>
      <c r="K44" s="241"/>
      <c r="L44" s="281"/>
    </row>
    <row r="45" spans="2:12" x14ac:dyDescent="0.45">
      <c r="B45" s="233" t="s">
        <v>45</v>
      </c>
      <c r="C45" s="282">
        <f>'C  - Beginning Base'!K43</f>
        <v>32998593.92510891</v>
      </c>
      <c r="D45" s="282">
        <f>'D - Benefits'!F43</f>
        <v>346127.96969999978</v>
      </c>
      <c r="E45" s="282">
        <f>'F - FY 17-18 Alloc and Realloc'!Z44</f>
        <v>923397.81521211844</v>
      </c>
      <c r="F45" s="282">
        <f>'F - FY 17-18 Alloc and Realloc'!AB44</f>
        <v>-6190.8705643378789</v>
      </c>
      <c r="G45" s="362">
        <f>'E -  Criminal Justice Alloc'!F45</f>
        <v>139045.35381012034</v>
      </c>
      <c r="H45" s="242">
        <f>'G -  Preliminary 1% Reduction'!K43</f>
        <v>0</v>
      </c>
      <c r="I45" s="242">
        <f>'H -  $22M in new CAC Funding'!C42</f>
        <v>380292</v>
      </c>
      <c r="J45" s="235">
        <f t="shared" si="1"/>
        <v>34781266.193266802</v>
      </c>
      <c r="K45" s="241"/>
      <c r="L45" s="281"/>
    </row>
    <row r="46" spans="2:12" x14ac:dyDescent="0.45">
      <c r="B46" s="233" t="s">
        <v>32</v>
      </c>
      <c r="C46" s="282">
        <f>'C  - Beginning Base'!K44</f>
        <v>13048707.689935692</v>
      </c>
      <c r="D46" s="282">
        <f>'D - Benefits'!F44</f>
        <v>282758.43329999998</v>
      </c>
      <c r="E46" s="282">
        <f>'F - FY 17-18 Alloc and Realloc'!Z45</f>
        <v>-509480.96046419884</v>
      </c>
      <c r="F46" s="282">
        <f>'F - FY 17-18 Alloc and Realloc'!AB45</f>
        <v>-2281.7022410231998</v>
      </c>
      <c r="G46" s="362">
        <f>'E -  Criminal Justice Alloc'!F46</f>
        <v>70753.166761786895</v>
      </c>
      <c r="H46" s="242">
        <f>'G -  Preliminary 1% Reduction'!K44</f>
        <v>0</v>
      </c>
      <c r="I46" s="242">
        <f>'H -  $22M in new CAC Funding'!C43</f>
        <v>96497</v>
      </c>
      <c r="J46" s="235">
        <f t="shared" si="1"/>
        <v>12986953.627292257</v>
      </c>
      <c r="K46" s="241"/>
      <c r="L46" s="281"/>
    </row>
    <row r="47" spans="2:12" x14ac:dyDescent="0.45">
      <c r="B47" s="233" t="s">
        <v>46</v>
      </c>
      <c r="C47" s="282">
        <f>'C  - Beginning Base'!K45</f>
        <v>34370308.739994034</v>
      </c>
      <c r="D47" s="282">
        <f>'D - Benefits'!F45</f>
        <v>-536099.06559999986</v>
      </c>
      <c r="E47" s="282">
        <f>'F - FY 17-18 Alloc and Realloc'!Z46</f>
        <v>214991.76927254815</v>
      </c>
      <c r="F47" s="282">
        <f>'F - FY 17-18 Alloc and Realloc'!AB46</f>
        <v>-6005.6217130079849</v>
      </c>
      <c r="G47" s="362">
        <f>'E -  Criminal Justice Alloc'!F47</f>
        <v>42656.981699859927</v>
      </c>
      <c r="H47" s="242">
        <f>'G -  Preliminary 1% Reduction'!K45</f>
        <v>0</v>
      </c>
      <c r="I47" s="242">
        <f>'H -  $22M in new CAC Funding'!C44</f>
        <v>180595</v>
      </c>
      <c r="J47" s="235">
        <f t="shared" si="1"/>
        <v>34266447.803653441</v>
      </c>
      <c r="K47" s="241"/>
      <c r="L47" s="281"/>
    </row>
    <row r="48" spans="2:12" x14ac:dyDescent="0.45">
      <c r="B48" s="233" t="s">
        <v>47</v>
      </c>
      <c r="C48" s="282">
        <f>'C  - Beginning Base'!K46</f>
        <v>21536091.164434481</v>
      </c>
      <c r="D48" s="282">
        <f>'D - Benefits'!F46</f>
        <v>-7452.6044999996202</v>
      </c>
      <c r="E48" s="282">
        <f>'F - FY 17-18 Alloc and Realloc'!Z47</f>
        <v>225361.11267882679</v>
      </c>
      <c r="F48" s="282">
        <f>'F - FY 17-18 Alloc and Realloc'!AB47</f>
        <v>-3770.6564016124171</v>
      </c>
      <c r="G48" s="362">
        <f>'E -  Criminal Justice Alloc'!F48</f>
        <v>74239.554689179306</v>
      </c>
      <c r="H48" s="242">
        <f>'G -  Preliminary 1% Reduction'!K46</f>
        <v>0</v>
      </c>
      <c r="I48" s="242">
        <f>'H -  $22M in new CAC Funding'!C45</f>
        <v>115756</v>
      </c>
      <c r="J48" s="235">
        <f t="shared" si="1"/>
        <v>21940224.570900876</v>
      </c>
      <c r="K48" s="241"/>
      <c r="L48" s="281"/>
    </row>
    <row r="49" spans="2:12" x14ac:dyDescent="0.45">
      <c r="B49" s="233" t="s">
        <v>61</v>
      </c>
      <c r="C49" s="282">
        <f>'C  - Beginning Base'!K47</f>
        <v>75710803.356007144</v>
      </c>
      <c r="D49" s="282">
        <f>'D - Benefits'!F47</f>
        <v>1063634.4128800067</v>
      </c>
      <c r="E49" s="282">
        <f>'F - FY 17-18 Alloc and Realloc'!Z48</f>
        <v>-1844228.7954191985</v>
      </c>
      <c r="F49" s="282">
        <f>'F - FY 17-18 Alloc and Realloc'!AB48</f>
        <v>-13861.166033576568</v>
      </c>
      <c r="G49" s="362">
        <f>'E -  Criminal Justice Alloc'!F49</f>
        <v>142326.66009472497</v>
      </c>
      <c r="H49" s="242">
        <f>'G -  Preliminary 1% Reduction'!K47</f>
        <v>0</v>
      </c>
      <c r="I49" s="242">
        <f>'H -  $22M in new CAC Funding'!C46</f>
        <v>433584</v>
      </c>
      <c r="J49" s="235">
        <f t="shared" si="1"/>
        <v>75492258.467529088</v>
      </c>
      <c r="K49" s="241"/>
      <c r="L49" s="281"/>
    </row>
    <row r="50" spans="2:12" x14ac:dyDescent="0.45">
      <c r="B50" s="233" t="s">
        <v>33</v>
      </c>
      <c r="C50" s="282">
        <f>'C  - Beginning Base'!K48</f>
        <v>11450901.3933533</v>
      </c>
      <c r="D50" s="282">
        <f>'D - Benefits'!F48</f>
        <v>130493.62484000003</v>
      </c>
      <c r="E50" s="282">
        <f>'F - FY 17-18 Alloc and Realloc'!Z49</f>
        <v>52020.404830229236</v>
      </c>
      <c r="F50" s="282">
        <f>'F - FY 17-18 Alloc and Realloc'!AB49</f>
        <v>-2166.6913452588738</v>
      </c>
      <c r="G50" s="362">
        <f>'E -  Criminal Justice Alloc'!F50</f>
        <v>7998.1840687237363</v>
      </c>
      <c r="H50" s="242">
        <f>'G -  Preliminary 1% Reduction'!K48</f>
        <v>0</v>
      </c>
      <c r="I50" s="242">
        <f>'H -  $22M in new CAC Funding'!C47</f>
        <v>78500</v>
      </c>
      <c r="J50" s="235">
        <f t="shared" si="1"/>
        <v>11717746.915746994</v>
      </c>
      <c r="K50" s="241"/>
      <c r="L50" s="281"/>
    </row>
    <row r="51" spans="2:12" x14ac:dyDescent="0.45">
      <c r="B51" s="233" t="s">
        <v>34</v>
      </c>
      <c r="C51" s="282">
        <f>'C  - Beginning Base'!K49</f>
        <v>12716411.159313254</v>
      </c>
      <c r="D51" s="282">
        <f>'D - Benefits'!F49</f>
        <v>125540.09001000004</v>
      </c>
      <c r="E51" s="282">
        <f>'F - FY 17-18 Alloc and Realloc'!Z50</f>
        <v>331746.96128039644</v>
      </c>
      <c r="F51" s="282">
        <f>'F - FY 17-18 Alloc and Realloc'!AB50</f>
        <v>-1901.4387736499305</v>
      </c>
      <c r="G51" s="362">
        <f>'E -  Criminal Justice Alloc'!F51</f>
        <v>73419.228118028142</v>
      </c>
      <c r="H51" s="242">
        <f>'G -  Preliminary 1% Reduction'!K49</f>
        <v>0</v>
      </c>
      <c r="I51" s="242">
        <f>'H -  $22M in new CAC Funding'!C48</f>
        <v>101252</v>
      </c>
      <c r="J51" s="235">
        <f t="shared" si="1"/>
        <v>13346467.999948028</v>
      </c>
      <c r="K51" s="241"/>
      <c r="L51" s="281"/>
    </row>
    <row r="52" spans="2:12" x14ac:dyDescent="0.45">
      <c r="B52" s="233" t="s">
        <v>17</v>
      </c>
      <c r="C52" s="282">
        <f>'C  - Beginning Base'!K50</f>
        <v>747892.19458938041</v>
      </c>
      <c r="D52" s="282">
        <f>'D - Benefits'!F50</f>
        <v>9859.4070000000083</v>
      </c>
      <c r="E52" s="282">
        <f>'F - FY 17-18 Alloc and Realloc'!Z51</f>
        <v>-23204.918416088451</v>
      </c>
      <c r="F52" s="282">
        <f>'F - FY 17-18 Alloc and Realloc'!AB51</f>
        <v>13352.51141608844</v>
      </c>
      <c r="G52" s="362">
        <f>'E -  Criminal Justice Alloc'!F52</f>
        <v>205.08164278778813</v>
      </c>
      <c r="H52" s="242">
        <f>'G -  Preliminary 1% Reduction'!K50</f>
        <v>0</v>
      </c>
      <c r="I52" s="242">
        <f>'H -  $22M in new CAC Funding'!C49</f>
        <v>0</v>
      </c>
      <c r="J52" s="235">
        <f t="shared" si="1"/>
        <v>748104.27623216819</v>
      </c>
      <c r="K52" s="241"/>
      <c r="L52" s="281"/>
    </row>
    <row r="53" spans="2:12" x14ac:dyDescent="0.45">
      <c r="B53" s="233" t="s">
        <v>35</v>
      </c>
      <c r="C53" s="282">
        <f>'C  - Beginning Base'!K51</f>
        <v>3018787.2130043251</v>
      </c>
      <c r="D53" s="282">
        <f>'D - Benefits'!F51</f>
        <v>36257.06035</v>
      </c>
      <c r="E53" s="282">
        <f>'F - FY 17-18 Alloc and Realloc'!Z52</f>
        <v>-134605.1285687343</v>
      </c>
      <c r="F53" s="282">
        <f>'F - FY 17-18 Alloc and Realloc'!AB52</f>
        <v>-517.86712603714989</v>
      </c>
      <c r="G53" s="362">
        <f>'E -  Criminal Justice Alloc'!F53</f>
        <v>9228.6739254504646</v>
      </c>
      <c r="H53" s="242">
        <f>'G -  Preliminary 1% Reduction'!K51</f>
        <v>0</v>
      </c>
      <c r="I53" s="242">
        <f>'H -  $22M in new CAC Funding'!C50</f>
        <v>0</v>
      </c>
      <c r="J53" s="235">
        <f t="shared" si="1"/>
        <v>2929149.9515850036</v>
      </c>
      <c r="K53" s="241"/>
      <c r="L53" s="281"/>
    </row>
    <row r="54" spans="2:12" x14ac:dyDescent="0.45">
      <c r="B54" s="233" t="s">
        <v>48</v>
      </c>
      <c r="C54" s="282">
        <f>'C  - Beginning Base'!K52</f>
        <v>20251597.857866779</v>
      </c>
      <c r="D54" s="282">
        <f>'D - Benefits'!F52</f>
        <v>274322.82141999982</v>
      </c>
      <c r="E54" s="282">
        <f>'F - FY 17-18 Alloc and Realloc'!Z53</f>
        <v>330966.32147532655</v>
      </c>
      <c r="F54" s="282">
        <f>'F - FY 17-18 Alloc and Realloc'!AB53</f>
        <v>-3696.2427181024091</v>
      </c>
      <c r="G54" s="362">
        <f>'E -  Criminal Justice Alloc'!F54</f>
        <v>122638.82238709729</v>
      </c>
      <c r="H54" s="242">
        <f>'G -  Preliminary 1% Reduction'!K52</f>
        <v>0</v>
      </c>
      <c r="I54" s="242">
        <f>'H -  $22M in new CAC Funding'!C51</f>
        <v>120704</v>
      </c>
      <c r="J54" s="235">
        <f t="shared" si="1"/>
        <v>21096533.5804311</v>
      </c>
      <c r="K54" s="241"/>
      <c r="L54" s="281"/>
    </row>
    <row r="55" spans="2:12" x14ac:dyDescent="0.45">
      <c r="B55" s="233" t="s">
        <v>49</v>
      </c>
      <c r="C55" s="282">
        <f>'C  - Beginning Base'!K53</f>
        <v>23077929.710063696</v>
      </c>
      <c r="D55" s="282">
        <f>'D - Benefits'!F53</f>
        <v>417021.1860000001</v>
      </c>
      <c r="E55" s="282">
        <f>'F - FY 17-18 Alloc and Realloc'!Z54</f>
        <v>-167018.9058059603</v>
      </c>
      <c r="F55" s="282">
        <f>'F - FY 17-18 Alloc and Realloc'!AB54</f>
        <v>-4170.073003382865</v>
      </c>
      <c r="G55" s="362">
        <f>'E -  Criminal Justice Alloc'!F55</f>
        <v>115050.80160394913</v>
      </c>
      <c r="H55" s="242">
        <f>'G -  Preliminary 1% Reduction'!K53</f>
        <v>0</v>
      </c>
      <c r="I55" s="242">
        <f>'H -  $22M in new CAC Funding'!C52</f>
        <v>139947</v>
      </c>
      <c r="J55" s="235">
        <f t="shared" si="1"/>
        <v>23578759.718858305</v>
      </c>
      <c r="K55" s="241"/>
      <c r="L55" s="281"/>
    </row>
    <row r="56" spans="2:12" x14ac:dyDescent="0.45">
      <c r="B56" s="233" t="s">
        <v>50</v>
      </c>
      <c r="C56" s="282">
        <f>'C  - Beginning Base'!K54</f>
        <v>20973349.971203517</v>
      </c>
      <c r="D56" s="282">
        <f>'D - Benefits'!F54</f>
        <v>221250.84499999983</v>
      </c>
      <c r="E56" s="282">
        <f>'F - FY 17-18 Alloc and Realloc'!Z55</f>
        <v>332612.55423202785</v>
      </c>
      <c r="F56" s="282">
        <f>'F - FY 17-18 Alloc and Realloc'!AB55</f>
        <v>-3925.2930009464185</v>
      </c>
      <c r="G56" s="362">
        <f>'E -  Criminal Justice Alloc'!F56</f>
        <v>63575.309264214309</v>
      </c>
      <c r="H56" s="242">
        <f>'G -  Preliminary 1% Reduction'!K54</f>
        <v>0</v>
      </c>
      <c r="I56" s="242">
        <f>'H -  $22M in new CAC Funding'!C53</f>
        <v>147736</v>
      </c>
      <c r="J56" s="235">
        <f t="shared" si="1"/>
        <v>21734599.386698809</v>
      </c>
      <c r="K56" s="241"/>
      <c r="L56" s="281"/>
    </row>
    <row r="57" spans="2:12" x14ac:dyDescent="0.45">
      <c r="B57" s="233" t="s">
        <v>36</v>
      </c>
      <c r="C57" s="282">
        <f>'C  - Beginning Base'!K55</f>
        <v>4849495.2736615101</v>
      </c>
      <c r="D57" s="282">
        <f>'D - Benefits'!F55</f>
        <v>118526.94564999998</v>
      </c>
      <c r="E57" s="282">
        <f>'F - FY 17-18 Alloc and Realloc'!Z56</f>
        <v>79669.515776332584</v>
      </c>
      <c r="F57" s="282">
        <f>'F - FY 17-18 Alloc and Realloc'!AB56</f>
        <v>-896.89339112761195</v>
      </c>
      <c r="G57" s="362">
        <f>'E -  Criminal Justice Alloc'!F57</f>
        <v>19140.953326860224</v>
      </c>
      <c r="H57" s="242">
        <f>'G -  Preliminary 1% Reduction'!K55</f>
        <v>-87253</v>
      </c>
      <c r="I57" s="242">
        <f>'H -  $22M in new CAC Funding'!C54</f>
        <v>37897</v>
      </c>
      <c r="J57" s="235">
        <f t="shared" si="1"/>
        <v>5016579.7950235754</v>
      </c>
      <c r="K57" s="241"/>
      <c r="L57" s="281"/>
    </row>
    <row r="58" spans="2:12" x14ac:dyDescent="0.45">
      <c r="B58" s="233" t="s">
        <v>37</v>
      </c>
      <c r="C58" s="282">
        <f>'C  - Beginning Base'!K56</f>
        <v>3709881.1135021942</v>
      </c>
      <c r="D58" s="282">
        <f>'D - Benefits'!F56</f>
        <v>16973.577599999957</v>
      </c>
      <c r="E58" s="282">
        <f>'F - FY 17-18 Alloc and Realloc'!Z57</f>
        <v>101090.84807809512</v>
      </c>
      <c r="F58" s="282">
        <f>'F - FY 17-18 Alloc and Realloc'!AB57</f>
        <v>-715.06946194637237</v>
      </c>
      <c r="G58" s="362">
        <f>'E -  Criminal Justice Alloc'!F58</f>
        <v>12304.898567267286</v>
      </c>
      <c r="H58" s="242">
        <f>'G -  Preliminary 1% Reduction'!K56</f>
        <v>0</v>
      </c>
      <c r="I58" s="242">
        <f>'H -  $22M in new CAC Funding'!C55</f>
        <v>38030</v>
      </c>
      <c r="J58" s="235">
        <f t="shared" si="1"/>
        <v>3877565.3682856099</v>
      </c>
      <c r="K58" s="241"/>
      <c r="L58" s="281"/>
    </row>
    <row r="59" spans="2:12" x14ac:dyDescent="0.45">
      <c r="B59" s="233" t="s">
        <v>18</v>
      </c>
      <c r="C59" s="282">
        <f>'C  - Beginning Base'!K57</f>
        <v>1839748.965714094</v>
      </c>
      <c r="D59" s="282">
        <f>'D - Benefits'!F57</f>
        <v>21054.631310000004</v>
      </c>
      <c r="E59" s="282">
        <f>'F - FY 17-18 Alloc and Realloc'!Z58</f>
        <v>34338.308466506758</v>
      </c>
      <c r="F59" s="282">
        <f>'F - FY 17-18 Alloc and Realloc'!AB58</f>
        <v>-256.28182306843968</v>
      </c>
      <c r="G59" s="362">
        <f>'E -  Criminal Justice Alloc'!F59</f>
        <v>2392.6191658575281</v>
      </c>
      <c r="H59" s="242">
        <f>'G -  Preliminary 1% Reduction'!K57</f>
        <v>0</v>
      </c>
      <c r="I59" s="242">
        <f>'H -  $22M in new CAC Funding'!C56</f>
        <v>0</v>
      </c>
      <c r="J59" s="235">
        <f t="shared" si="1"/>
        <v>1897278.2428333899</v>
      </c>
      <c r="K59" s="241"/>
      <c r="L59" s="281"/>
    </row>
    <row r="60" spans="2:12" x14ac:dyDescent="0.45">
      <c r="B60" s="233" t="s">
        <v>51</v>
      </c>
      <c r="C60" s="282">
        <f>'C  - Beginning Base'!K58</f>
        <v>17197346.997347459</v>
      </c>
      <c r="D60" s="282">
        <f>'D - Benefits'!F58</f>
        <v>264571.9617999997</v>
      </c>
      <c r="E60" s="282">
        <f>'F - FY 17-18 Alloc and Realloc'!Z59</f>
        <v>1178217.3542479882</v>
      </c>
      <c r="F60" s="282">
        <f>'F - FY 17-18 Alloc and Realloc'!AB59</f>
        <v>-3410.832744519178</v>
      </c>
      <c r="G60" s="362">
        <f>'E -  Criminal Justice Alloc'!F60</f>
        <v>88390.188041536676</v>
      </c>
      <c r="H60" s="242">
        <f>'G -  Preliminary 1% Reduction'!K58</f>
        <v>0</v>
      </c>
      <c r="I60" s="242">
        <f>'H -  $22M in new CAC Funding'!C57</f>
        <v>290555</v>
      </c>
      <c r="J60" s="235">
        <f t="shared" si="1"/>
        <v>19015670.668692466</v>
      </c>
      <c r="K60" s="241"/>
      <c r="L60" s="281"/>
    </row>
    <row r="61" spans="2:12" x14ac:dyDescent="0.45">
      <c r="B61" s="233" t="s">
        <v>38</v>
      </c>
      <c r="C61" s="282">
        <f>'C  - Beginning Base'!K59</f>
        <v>3155788.8958190698</v>
      </c>
      <c r="D61" s="282">
        <f>'D - Benefits'!F59</f>
        <v>51125.60925000003</v>
      </c>
      <c r="E61" s="282">
        <f>'F - FY 17-18 Alloc and Realloc'!Z60</f>
        <v>139767.65721884015</v>
      </c>
      <c r="F61" s="282">
        <f>'F - FY 17-18 Alloc and Realloc'!AB60</f>
        <v>-564.27856031498095</v>
      </c>
      <c r="G61" s="362">
        <f>'E -  Criminal Justice Alloc'!F61</f>
        <v>6972.7758547847961</v>
      </c>
      <c r="H61" s="242">
        <f>'G -  Preliminary 1% Reduction'!K59</f>
        <v>0</v>
      </c>
      <c r="I61" s="242">
        <f>'H -  $22M in new CAC Funding'!C58</f>
        <v>18663</v>
      </c>
      <c r="J61" s="235">
        <f t="shared" si="1"/>
        <v>3371753.6595823802</v>
      </c>
      <c r="K61" s="241"/>
      <c r="L61" s="281"/>
    </row>
    <row r="62" spans="2:12" x14ac:dyDescent="0.45">
      <c r="B62" s="233" t="s">
        <v>52</v>
      </c>
      <c r="C62" s="282">
        <f>'C  - Beginning Base'!K60</f>
        <v>33968245.026265502</v>
      </c>
      <c r="D62" s="282">
        <f>'D - Benefits'!F60</f>
        <v>79259.619269999734</v>
      </c>
      <c r="E62" s="282">
        <f>'F - FY 17-18 Alloc and Realloc'!Z61</f>
        <v>1265055.7318772301</v>
      </c>
      <c r="F62" s="282">
        <f>'F - FY 17-18 Alloc and Realloc'!AB61</f>
        <v>-6189.2971357714123</v>
      </c>
      <c r="G62" s="362">
        <f>'E -  Criminal Justice Alloc'!F62</f>
        <v>351099.77245269326</v>
      </c>
      <c r="H62" s="242">
        <f>'G -  Preliminary 1% Reduction'!K60</f>
        <v>0</v>
      </c>
      <c r="I62" s="242">
        <f>'H -  $22M in new CAC Funding'!C59</f>
        <v>335533</v>
      </c>
      <c r="J62" s="235">
        <f t="shared" si="1"/>
        <v>35993003.852729648</v>
      </c>
      <c r="K62" s="241"/>
      <c r="L62" s="281"/>
    </row>
    <row r="63" spans="2:12" x14ac:dyDescent="0.45">
      <c r="B63" s="233" t="s">
        <v>39</v>
      </c>
      <c r="C63" s="282">
        <f>'C  - Beginning Base'!K61</f>
        <v>9193431.8226091154</v>
      </c>
      <c r="D63" s="282">
        <f>'D - Benefits'!F61</f>
        <v>38377.765840000073</v>
      </c>
      <c r="E63" s="282">
        <f>'F - FY 17-18 Alloc and Realloc'!Z62</f>
        <v>587673.58837379003</v>
      </c>
      <c r="F63" s="282">
        <f>'F - FY 17-18 Alloc and Realloc'!AB62</f>
        <v>-1669.1310335225951</v>
      </c>
      <c r="G63" s="362">
        <f>'E -  Criminal Justice Alloc'!F63</f>
        <v>51885.655625310392</v>
      </c>
      <c r="H63" s="242">
        <f>'G -  Preliminary 1% Reduction'!K61</f>
        <v>0</v>
      </c>
      <c r="I63" s="242">
        <f>'H -  $22M in new CAC Funding'!C60</f>
        <v>100262</v>
      </c>
      <c r="J63" s="235">
        <f t="shared" si="1"/>
        <v>9969961.7014146913</v>
      </c>
      <c r="K63" s="241"/>
      <c r="L63" s="281"/>
    </row>
    <row r="64" spans="2:12" x14ac:dyDescent="0.45">
      <c r="B64" s="233" t="s">
        <v>40</v>
      </c>
      <c r="C64" s="282">
        <f>'C  - Beginning Base'!K62</f>
        <v>4430455.755923504</v>
      </c>
      <c r="D64" s="282">
        <f>'D - Benefits'!F62</f>
        <v>36274.860490000014</v>
      </c>
      <c r="E64" s="282">
        <f>'F - FY 17-18 Alloc and Realloc'!Z63</f>
        <v>96488.208562665153</v>
      </c>
      <c r="F64" s="282">
        <f>'F - FY 17-18 Alloc and Realloc'!AB63</f>
        <v>-824.27459128281657</v>
      </c>
      <c r="G64" s="362">
        <f>'E -  Criminal Justice Alloc'!F64</f>
        <v>36504.532416226284</v>
      </c>
      <c r="H64" s="242">
        <f>'G -  Preliminary 1% Reduction'!K62</f>
        <v>0</v>
      </c>
      <c r="I64" s="242">
        <f>'H -  $22M in new CAC Funding'!C61</f>
        <v>84330</v>
      </c>
      <c r="J64" s="235">
        <f t="shared" si="1"/>
        <v>4683229.082801112</v>
      </c>
      <c r="K64" s="241"/>
      <c r="L64" s="281"/>
    </row>
    <row r="65" spans="2:10" x14ac:dyDescent="0.45">
      <c r="B65" s="236" t="s">
        <v>0</v>
      </c>
      <c r="C65" s="235">
        <f t="shared" ref="C65:I65" si="2">SUM(C7:C64)</f>
        <v>1820993364.3048568</v>
      </c>
      <c r="D65" s="235">
        <f t="shared" si="2"/>
        <v>4787750.9750585835</v>
      </c>
      <c r="E65" s="235">
        <f t="shared" si="2"/>
        <v>-4.4936314225196838E-8</v>
      </c>
      <c r="F65" s="235">
        <f t="shared" si="2"/>
        <v>-2.2737367544323206E-12</v>
      </c>
      <c r="G65" s="235">
        <f t="shared" si="2"/>
        <v>9223000.0000000019</v>
      </c>
      <c r="H65" s="235">
        <f t="shared" si="2"/>
        <v>-7773281.5700000003</v>
      </c>
      <c r="I65" s="235">
        <f t="shared" si="2"/>
        <v>22000000.214364465</v>
      </c>
      <c r="J65" s="235">
        <f>SUM(C65:I65)</f>
        <v>1849230833.9242799</v>
      </c>
    </row>
    <row r="66" spans="2:10" x14ac:dyDescent="0.45">
      <c r="B66" s="237" t="s">
        <v>563</v>
      </c>
      <c r="D66" s="161"/>
    </row>
    <row r="67" spans="2:10" x14ac:dyDescent="0.45">
      <c r="B67" s="237" t="s">
        <v>573</v>
      </c>
      <c r="C67" s="240"/>
    </row>
    <row r="68" spans="2:10" x14ac:dyDescent="0.45">
      <c r="B68" s="237" t="s">
        <v>574</v>
      </c>
    </row>
    <row r="69" spans="2:10" x14ac:dyDescent="0.45">
      <c r="B69" s="371" t="s">
        <v>575</v>
      </c>
      <c r="C69" s="372"/>
    </row>
    <row r="70" spans="2:10" x14ac:dyDescent="0.45">
      <c r="B70" s="371" t="s">
        <v>576</v>
      </c>
      <c r="C70" s="372"/>
    </row>
    <row r="71" spans="2:10" x14ac:dyDescent="0.45">
      <c r="B71" s="371" t="s">
        <v>669</v>
      </c>
    </row>
    <row r="72" spans="2:10" x14ac:dyDescent="0.45">
      <c r="B72" s="371" t="s">
        <v>670</v>
      </c>
    </row>
  </sheetData>
  <autoFilter ref="A6:L66"/>
  <mergeCells count="4">
    <mergeCell ref="B1:J2"/>
    <mergeCell ref="J4:J5"/>
    <mergeCell ref="C3:F3"/>
    <mergeCell ref="G3:I3"/>
  </mergeCells>
  <printOptions horizontalCentered="1"/>
  <pageMargins left="0.2" right="0.45" top="0.5" bottom="0.5" header="0.3" footer="0.3"/>
  <pageSetup scale="72" fitToHeight="2" orientation="landscape" r:id="rId1"/>
  <headerFooter>
    <oddHeader>&amp;R&amp;"Times New Roman,Bold"&amp;12 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0"/>
  <sheetViews>
    <sheetView showGridLines="0" zoomScaleNormal="100" workbookViewId="0">
      <pane xSplit="2" ySplit="5" topLeftCell="C42" activePane="bottomRight" state="frozen"/>
      <selection activeCell="M68" sqref="M68"/>
      <selection pane="topRight" activeCell="M68" sqref="M68"/>
      <selection pane="bottomLeft" activeCell="M68" sqref="M68"/>
      <selection pane="bottomRight" activeCell="B1" sqref="B1:M2"/>
    </sheetView>
  </sheetViews>
  <sheetFormatPr defaultColWidth="9.1328125" defaultRowHeight="15.4" x14ac:dyDescent="0.45"/>
  <cols>
    <col min="1" max="1" width="1.73046875" style="229" customWidth="1"/>
    <col min="2" max="2" width="15.59765625" style="229" bestFit="1" customWidth="1"/>
    <col min="3" max="3" width="15.73046875" style="229" bestFit="1" customWidth="1"/>
    <col min="4" max="4" width="15.73046875" style="229" customWidth="1"/>
    <col min="5" max="9" width="14.59765625" style="229" customWidth="1"/>
    <col min="10" max="12" width="16.265625" style="229" customWidth="1"/>
    <col min="13" max="13" width="15.73046875" style="229" bestFit="1" customWidth="1"/>
    <col min="14" max="14" width="15.265625" style="229" bestFit="1" customWidth="1"/>
    <col min="15" max="15" width="12.86328125" style="229" customWidth="1"/>
    <col min="16" max="16384" width="9.1328125" style="229"/>
  </cols>
  <sheetData>
    <row r="1" spans="2:15" ht="16.5" customHeight="1" x14ac:dyDescent="0.45">
      <c r="B1" s="422" t="s">
        <v>569</v>
      </c>
      <c r="C1" s="422"/>
      <c r="D1" s="422"/>
      <c r="E1" s="422"/>
      <c r="F1" s="422"/>
      <c r="G1" s="422"/>
      <c r="H1" s="422"/>
      <c r="I1" s="422"/>
      <c r="J1" s="422"/>
      <c r="K1" s="422"/>
      <c r="L1" s="422"/>
      <c r="M1" s="422"/>
    </row>
    <row r="2" spans="2:15" ht="23.25" customHeight="1" x14ac:dyDescent="0.45">
      <c r="B2" s="422"/>
      <c r="C2" s="422"/>
      <c r="D2" s="422"/>
      <c r="E2" s="422"/>
      <c r="F2" s="422"/>
      <c r="G2" s="422"/>
      <c r="H2" s="422"/>
      <c r="I2" s="422"/>
      <c r="J2" s="422"/>
      <c r="K2" s="422"/>
      <c r="L2" s="422"/>
      <c r="M2" s="422"/>
    </row>
    <row r="3" spans="2:15" ht="28.5" customHeight="1" x14ac:dyDescent="0.45">
      <c r="B3" s="367"/>
      <c r="C3" s="423">
        <v>812110</v>
      </c>
      <c r="D3" s="424"/>
      <c r="E3" s="424"/>
      <c r="F3" s="424"/>
      <c r="G3" s="424"/>
      <c r="H3" s="424"/>
      <c r="I3" s="424"/>
      <c r="J3" s="230">
        <v>832010</v>
      </c>
      <c r="K3" s="368">
        <v>832012</v>
      </c>
      <c r="L3" s="370">
        <v>816111</v>
      </c>
      <c r="M3" s="417" t="s">
        <v>0</v>
      </c>
    </row>
    <row r="4" spans="2:15" ht="54.75" customHeight="1" x14ac:dyDescent="0.45">
      <c r="C4" s="230" t="s">
        <v>564</v>
      </c>
      <c r="D4" s="230" t="s">
        <v>572</v>
      </c>
      <c r="E4" s="230" t="s">
        <v>565</v>
      </c>
      <c r="F4" s="230" t="s">
        <v>566</v>
      </c>
      <c r="G4" s="230" t="s">
        <v>567</v>
      </c>
      <c r="H4" s="230" t="s">
        <v>568</v>
      </c>
      <c r="I4" s="230" t="s">
        <v>390</v>
      </c>
      <c r="J4" s="230" t="s">
        <v>570</v>
      </c>
      <c r="K4" s="230" t="s">
        <v>672</v>
      </c>
      <c r="L4" s="369" t="s">
        <v>571</v>
      </c>
      <c r="M4" s="418"/>
    </row>
    <row r="5" spans="2:15" x14ac:dyDescent="0.45">
      <c r="B5" s="231" t="s">
        <v>63</v>
      </c>
      <c r="C5" s="232">
        <v>1</v>
      </c>
      <c r="D5" s="232">
        <v>2</v>
      </c>
      <c r="E5" s="232">
        <v>2</v>
      </c>
      <c r="F5" s="232">
        <v>3</v>
      </c>
      <c r="G5" s="232">
        <v>4</v>
      </c>
      <c r="H5" s="232">
        <v>5</v>
      </c>
      <c r="I5" s="232">
        <v>6</v>
      </c>
      <c r="J5" s="232">
        <v>11</v>
      </c>
      <c r="K5" s="232">
        <v>7</v>
      </c>
      <c r="L5" s="232">
        <v>13</v>
      </c>
      <c r="M5" s="232">
        <v>8</v>
      </c>
    </row>
    <row r="6" spans="2:15" x14ac:dyDescent="0.45">
      <c r="B6" s="233" t="s">
        <v>53</v>
      </c>
      <c r="C6" s="282">
        <f>'A- Summary'!C7-'B - Allocation by GL'!D6-'B - Allocation by GL'!J6-'B - Allocation by GL'!L6</f>
        <v>70527390.338167742</v>
      </c>
      <c r="D6" s="234">
        <v>2104111</v>
      </c>
      <c r="E6" s="282">
        <f>'D - Benefits'!F5</f>
        <v>-117415.08990000052</v>
      </c>
      <c r="F6" s="282">
        <f>'F - FY 17-18 Alloc and Realloc'!Z6</f>
        <v>118477.48050865438</v>
      </c>
      <c r="G6" s="282">
        <f>'F - FY 17-18 Alloc and Realloc'!AB6</f>
        <v>-13183.574330919786</v>
      </c>
      <c r="H6" s="362">
        <f>'E -  Criminal Justice Alloc'!F7</f>
        <v>252660.58391455494</v>
      </c>
      <c r="I6" s="242">
        <f>'G -  Preliminary 1% Reduction'!K5</f>
        <v>-604310</v>
      </c>
      <c r="J6" s="234">
        <v>104208.82736650138</v>
      </c>
      <c r="K6" s="242">
        <f>'H -  $22M in new CAC Funding'!C4</f>
        <v>569404</v>
      </c>
      <c r="L6" s="242">
        <v>3102047</v>
      </c>
      <c r="M6" s="235">
        <f>SUM(C6:L6)</f>
        <v>76043390.565726519</v>
      </c>
      <c r="N6" s="241"/>
      <c r="O6" s="281"/>
    </row>
    <row r="7" spans="2:15" x14ac:dyDescent="0.45">
      <c r="B7" s="233" t="s">
        <v>4</v>
      </c>
      <c r="C7" s="282">
        <f>'A- Summary'!C8-'B - Allocation by GL'!D7-'B - Allocation by GL'!J7-'B - Allocation by GL'!L7</f>
        <v>672182.92002334283</v>
      </c>
      <c r="D7" s="234">
        <v>21282</v>
      </c>
      <c r="E7" s="282">
        <f>'D - Benefits'!F6</f>
        <v>11841.889419999998</v>
      </c>
      <c r="F7" s="282">
        <f>'F - FY 17-18 Alloc and Realloc'!Z7</f>
        <v>-22963.968566127172</v>
      </c>
      <c r="G7" s="282">
        <f>'F - FY 17-18 Alloc and Realloc'!AB7</f>
        <v>11128.0791461271</v>
      </c>
      <c r="H7" s="362">
        <f>'E -  Criminal Justice Alloc'!F8</f>
        <v>273.44219038371745</v>
      </c>
      <c r="I7" s="242">
        <f>'G -  Preliminary 1% Reduction'!K6</f>
        <v>-124881</v>
      </c>
      <c r="J7" s="234">
        <v>34057.689850819224</v>
      </c>
      <c r="K7" s="242">
        <f>'H -  $22M in new CAC Funding'!C5</f>
        <v>288.214364465259</v>
      </c>
      <c r="L7" s="242">
        <v>20340</v>
      </c>
      <c r="M7" s="235">
        <f t="shared" ref="M7:M63" si="0">SUM(C7:L7)</f>
        <v>623549.2664290109</v>
      </c>
      <c r="N7" s="241"/>
      <c r="O7" s="281"/>
    </row>
    <row r="8" spans="2:15" x14ac:dyDescent="0.45">
      <c r="B8" s="233" t="s">
        <v>5</v>
      </c>
      <c r="C8" s="282">
        <f>'A- Summary'!C9-'B - Allocation by GL'!D8-'B - Allocation by GL'!J8-'B - Allocation by GL'!L8</f>
        <v>2132982.7791942083</v>
      </c>
      <c r="D8" s="234">
        <v>62182</v>
      </c>
      <c r="E8" s="282">
        <f>'D - Benefits'!F7</f>
        <v>21663.390930000009</v>
      </c>
      <c r="F8" s="282">
        <f>'F - FY 17-18 Alloc and Realloc'!Z8</f>
        <v>-76748.762816172151</v>
      </c>
      <c r="G8" s="282">
        <f>'F - FY 17-18 Alloc and Realloc'!AB8</f>
        <v>-415.14105228305215</v>
      </c>
      <c r="H8" s="362">
        <f>'E -  Criminal Justice Alloc'!F9</f>
        <v>5742.285998058067</v>
      </c>
      <c r="I8" s="242">
        <f>'G -  Preliminary 1% Reduction'!K7</f>
        <v>0</v>
      </c>
      <c r="J8" s="234">
        <v>35772.672909983492</v>
      </c>
      <c r="K8" s="242">
        <f>'H -  $22M in new CAC Funding'!C6</f>
        <v>21243</v>
      </c>
      <c r="L8" s="242">
        <v>51756</v>
      </c>
      <c r="M8" s="235">
        <f t="shared" si="0"/>
        <v>2254178.2251637951</v>
      </c>
      <c r="N8" s="241"/>
      <c r="O8" s="281"/>
    </row>
    <row r="9" spans="2:15" x14ac:dyDescent="0.45">
      <c r="B9" s="233" t="s">
        <v>19</v>
      </c>
      <c r="C9" s="282">
        <f>'A- Summary'!C10-'B - Allocation by GL'!D9-'B - Allocation by GL'!J9-'B - Allocation by GL'!L9</f>
        <v>9673142.8865113258</v>
      </c>
      <c r="D9" s="234">
        <v>273524</v>
      </c>
      <c r="E9" s="282">
        <f>'D - Benefits'!F8</f>
        <v>65289.591429999971</v>
      </c>
      <c r="F9" s="282">
        <f>'F - FY 17-18 Alloc and Realloc'!Z9</f>
        <v>-37055.933640633943</v>
      </c>
      <c r="G9" s="282">
        <f>'F - FY 17-18 Alloc and Realloc'!AB9</f>
        <v>-1746.5014291677401</v>
      </c>
      <c r="H9" s="362">
        <f>'E -  Criminal Justice Alloc'!F10</f>
        <v>86749.534899234364</v>
      </c>
      <c r="I9" s="242">
        <f>'G -  Preliminary 1% Reduction'!K8</f>
        <v>-173561</v>
      </c>
      <c r="J9" s="234">
        <v>44097.304437222461</v>
      </c>
      <c r="K9" s="242">
        <f>'H -  $22M in new CAC Funding'!C7</f>
        <v>122046</v>
      </c>
      <c r="L9" s="242">
        <v>124077</v>
      </c>
      <c r="M9" s="235">
        <f t="shared" si="0"/>
        <v>10176562.882207979</v>
      </c>
      <c r="N9" s="241"/>
      <c r="O9" s="281"/>
    </row>
    <row r="10" spans="2:15" x14ac:dyDescent="0.45">
      <c r="B10" s="233" t="s">
        <v>6</v>
      </c>
      <c r="C10" s="282">
        <f>'A- Summary'!C11-'B - Allocation by GL'!D10-'B - Allocation by GL'!J10-'B - Allocation by GL'!L10</f>
        <v>2022301.7743633259</v>
      </c>
      <c r="D10" s="234">
        <v>58645</v>
      </c>
      <c r="E10" s="282">
        <f>'D - Benefits'!F9</f>
        <v>20469.460519999993</v>
      </c>
      <c r="F10" s="282">
        <f>'F - FY 17-18 Alloc and Realloc'!Z10</f>
        <v>-124146.08992427116</v>
      </c>
      <c r="G10" s="282">
        <f>'F - FY 17-18 Alloc and Realloc'!AB10</f>
        <v>-386.37328412153568</v>
      </c>
      <c r="H10" s="362">
        <f>'E -  Criminal Justice Alloc'!F11</f>
        <v>1640.653142302305</v>
      </c>
      <c r="I10" s="242">
        <f>'G -  Preliminary 1% Reduction'!K9</f>
        <v>0</v>
      </c>
      <c r="J10" s="234">
        <v>36124.948243994841</v>
      </c>
      <c r="K10" s="242">
        <f>'H -  $22M in new CAC Funding'!C8</f>
        <v>32964</v>
      </c>
      <c r="L10" s="242">
        <v>50506</v>
      </c>
      <c r="M10" s="235">
        <f t="shared" si="0"/>
        <v>2098119.3730612304</v>
      </c>
      <c r="N10" s="241"/>
    </row>
    <row r="11" spans="2:15" x14ac:dyDescent="0.45">
      <c r="B11" s="233" t="s">
        <v>7</v>
      </c>
      <c r="C11" s="282">
        <f>'A- Summary'!C12-'B - Allocation by GL'!D11-'B - Allocation by GL'!J11-'B - Allocation by GL'!L11</f>
        <v>1751080.1636826345</v>
      </c>
      <c r="D11" s="234">
        <v>48701</v>
      </c>
      <c r="E11" s="282">
        <f>'D - Benefits'!F10</f>
        <v>21698.80506999998</v>
      </c>
      <c r="F11" s="282">
        <f>'F - FY 17-18 Alloc and Realloc'!Z11</f>
        <v>27999.634482854191</v>
      </c>
      <c r="G11" s="282">
        <f>'F - FY 17-18 Alloc and Realloc'!AB11</f>
        <v>-356.42714463897295</v>
      </c>
      <c r="H11" s="362">
        <f>'E -  Criminal Justice Alloc'!F12</f>
        <v>3691.4695701801857</v>
      </c>
      <c r="I11" s="242">
        <f>'G -  Preliminary 1% Reduction'!K10</f>
        <v>-150000</v>
      </c>
      <c r="J11" s="234">
        <v>35000.019396311982</v>
      </c>
      <c r="K11" s="242">
        <f>'H -  $22M in new CAC Funding'!C9</f>
        <v>0</v>
      </c>
      <c r="L11" s="242">
        <v>24773</v>
      </c>
      <c r="M11" s="235">
        <f t="shared" si="0"/>
        <v>1762587.665057342</v>
      </c>
      <c r="N11" s="241"/>
      <c r="O11" s="281"/>
    </row>
    <row r="12" spans="2:15" x14ac:dyDescent="0.45">
      <c r="B12" s="233" t="s">
        <v>41</v>
      </c>
      <c r="C12" s="282">
        <f>'A- Summary'!C13-'B - Allocation by GL'!D12-'B - Allocation by GL'!J12-'B - Allocation by GL'!L12</f>
        <v>36279315.587527752</v>
      </c>
      <c r="D12" s="234">
        <v>1132213</v>
      </c>
      <c r="E12" s="282">
        <f>'D - Benefits'!F11</f>
        <v>-627558.83580000023</v>
      </c>
      <c r="F12" s="282">
        <f>'F - FY 17-18 Alloc and Realloc'!Z12</f>
        <v>1188741.1302494304</v>
      </c>
      <c r="G12" s="282">
        <f>'F - FY 17-18 Alloc and Realloc'!AB12</f>
        <v>-7228.4953000567593</v>
      </c>
      <c r="H12" s="362">
        <f>'E -  Criminal Justice Alloc'!F13</f>
        <v>116281.29146067586</v>
      </c>
      <c r="I12" s="242">
        <f>'G -  Preliminary 1% Reduction'!K11</f>
        <v>-132189.4</v>
      </c>
      <c r="J12" s="234">
        <v>81852.220440565303</v>
      </c>
      <c r="K12" s="242">
        <f>'H -  $22M in new CAC Funding'!C10</f>
        <v>346377</v>
      </c>
      <c r="L12" s="242">
        <v>1396192</v>
      </c>
      <c r="M12" s="235">
        <f t="shared" si="0"/>
        <v>39773995.498578377</v>
      </c>
      <c r="N12" s="241"/>
      <c r="O12" s="281"/>
    </row>
    <row r="13" spans="2:15" x14ac:dyDescent="0.45">
      <c r="B13" s="233" t="s">
        <v>8</v>
      </c>
      <c r="C13" s="282">
        <f>'A- Summary'!C14-'B - Allocation by GL'!D13-'B - Allocation by GL'!J13-'B - Allocation by GL'!L13</f>
        <v>2434197.0888520228</v>
      </c>
      <c r="D13" s="234">
        <v>69702</v>
      </c>
      <c r="E13" s="282">
        <f>'D - Benefits'!F12</f>
        <v>39608.979420000018</v>
      </c>
      <c r="F13" s="282">
        <f>'F - FY 17-18 Alloc and Realloc'!Z13</f>
        <v>-159820.51354524976</v>
      </c>
      <c r="G13" s="282">
        <f>'F - FY 17-18 Alloc and Realloc'!AB13</f>
        <v>-467.91355153990361</v>
      </c>
      <c r="H13" s="362">
        <f>'E -  Criminal Justice Alloc'!F14</f>
        <v>8613.4289970871014</v>
      </c>
      <c r="I13" s="242">
        <f>'G -  Preliminary 1% Reduction'!K12</f>
        <v>-127676</v>
      </c>
      <c r="J13" s="234">
        <v>35357.222308233759</v>
      </c>
      <c r="K13" s="242">
        <f>'H -  $22M in new CAC Funding'!C11</f>
        <v>0</v>
      </c>
      <c r="L13" s="242">
        <v>94130</v>
      </c>
      <c r="M13" s="235">
        <f t="shared" si="0"/>
        <v>2393644.2924805544</v>
      </c>
      <c r="N13" s="241"/>
      <c r="O13" s="281"/>
    </row>
    <row r="14" spans="2:15" x14ac:dyDescent="0.45">
      <c r="B14" s="233" t="s">
        <v>20</v>
      </c>
      <c r="C14" s="282">
        <f>'A- Summary'!C15-'B - Allocation by GL'!D14-'B - Allocation by GL'!J14-'B - Allocation by GL'!L14</f>
        <v>6200256.2988181887</v>
      </c>
      <c r="D14" s="234">
        <v>186535</v>
      </c>
      <c r="E14" s="282">
        <f>'D - Benefits'!F13</f>
        <v>38696.042359999934</v>
      </c>
      <c r="F14" s="282">
        <f>'F - FY 17-18 Alloc and Realloc'!Z14</f>
        <v>-105821.18385376071</v>
      </c>
      <c r="G14" s="282">
        <f>'F - FY 17-18 Alloc and Realloc'!AB14</f>
        <v>-1202.1133431066139</v>
      </c>
      <c r="H14" s="362">
        <f>'E -  Criminal Justice Alloc'!F15</f>
        <v>44297.634842162239</v>
      </c>
      <c r="I14" s="242">
        <f>'G -  Preliminary 1% Reduction'!K13</f>
        <v>0</v>
      </c>
      <c r="J14" s="234">
        <v>42191.12205781688</v>
      </c>
      <c r="K14" s="242">
        <f>'H -  $22M in new CAC Funding'!C12</f>
        <v>72078</v>
      </c>
      <c r="L14" s="242">
        <v>213120</v>
      </c>
      <c r="M14" s="235">
        <f t="shared" si="0"/>
        <v>6690150.8008813011</v>
      </c>
      <c r="N14" s="241"/>
      <c r="O14" s="281"/>
    </row>
    <row r="15" spans="2:15" x14ac:dyDescent="0.45">
      <c r="B15" s="233" t="s">
        <v>42</v>
      </c>
      <c r="C15" s="282">
        <f>'A- Summary'!C16-'B - Allocation by GL'!D15-'B - Allocation by GL'!J15-'B - Allocation by GL'!L15</f>
        <v>43662322.442562476</v>
      </c>
      <c r="D15" s="234">
        <v>1211523</v>
      </c>
      <c r="E15" s="282">
        <f>'D - Benefits'!F14</f>
        <v>-240621.76060000079</v>
      </c>
      <c r="F15" s="282">
        <f>'F - FY 17-18 Alloc and Realloc'!Z15</f>
        <v>-568450.71860606968</v>
      </c>
      <c r="G15" s="282">
        <f>'F - FY 17-18 Alloc and Realloc'!AB15</f>
        <v>-8671.502925864017</v>
      </c>
      <c r="H15" s="362">
        <f>'E -  Criminal Justice Alloc'!F16</f>
        <v>404626.08122030593</v>
      </c>
      <c r="I15" s="242">
        <f>'G -  Preliminary 1% Reduction'!K14</f>
        <v>0</v>
      </c>
      <c r="J15" s="234">
        <v>75815.33317470146</v>
      </c>
      <c r="K15" s="242">
        <f>'H -  $22M in new CAC Funding'!C13</f>
        <v>419102</v>
      </c>
      <c r="L15" s="242">
        <v>3340364</v>
      </c>
      <c r="M15" s="235">
        <f t="shared" si="0"/>
        <v>48296008.874825545</v>
      </c>
      <c r="N15" s="241"/>
      <c r="O15" s="281"/>
    </row>
    <row r="16" spans="2:15" x14ac:dyDescent="0.45">
      <c r="B16" s="233" t="s">
        <v>9</v>
      </c>
      <c r="C16" s="282">
        <f>'A- Summary'!C17-'B - Allocation by GL'!D16-'B - Allocation by GL'!J16-'B - Allocation by GL'!L16</f>
        <v>1720368.9975938462</v>
      </c>
      <c r="D16" s="234">
        <v>52813</v>
      </c>
      <c r="E16" s="282">
        <f>'D - Benefits'!F15</f>
        <v>48932.707799999967</v>
      </c>
      <c r="F16" s="282">
        <f>'F - FY 17-18 Alloc and Realloc'!Z16</f>
        <v>-9648.2229136459355</v>
      </c>
      <c r="G16" s="282">
        <f>'F - FY 17-18 Alloc and Realloc'!AB16</f>
        <v>-354.48793917919608</v>
      </c>
      <c r="H16" s="362">
        <f>'E -  Criminal Justice Alloc'!F17</f>
        <v>2255.8980706656689</v>
      </c>
      <c r="I16" s="242">
        <f>'G -  Preliminary 1% Reduction'!K15</f>
        <v>0</v>
      </c>
      <c r="J16" s="234">
        <v>35331.887119920728</v>
      </c>
      <c r="K16" s="242">
        <f>'H -  $22M in new CAC Funding'!C14</f>
        <v>0</v>
      </c>
      <c r="L16" s="242">
        <v>54665</v>
      </c>
      <c r="M16" s="235">
        <f t="shared" si="0"/>
        <v>1904364.7797316075</v>
      </c>
      <c r="N16" s="241"/>
      <c r="O16" s="281"/>
    </row>
    <row r="17" spans="2:15" x14ac:dyDescent="0.45">
      <c r="B17" s="233" t="s">
        <v>21</v>
      </c>
      <c r="C17" s="282">
        <f>'A- Summary'!C18-'B - Allocation by GL'!D17-'B - Allocation by GL'!J17-'B - Allocation by GL'!L17</f>
        <v>5963067.5337152202</v>
      </c>
      <c r="D17" s="234">
        <v>172432</v>
      </c>
      <c r="E17" s="282">
        <f>'D - Benefits'!F16</f>
        <v>92630.888820000066</v>
      </c>
      <c r="F17" s="282">
        <f>'F - FY 17-18 Alloc and Realloc'!Z17</f>
        <v>-16433.494788917364</v>
      </c>
      <c r="G17" s="282">
        <f>'F - FY 17-18 Alloc and Realloc'!AB17</f>
        <v>-1123.6026630499355</v>
      </c>
      <c r="H17" s="362">
        <f>'E -  Criminal Justice Alloc'!F18</f>
        <v>51065.329054159243</v>
      </c>
      <c r="I17" s="242">
        <f>'G -  Preliminary 1% Reduction'!K16</f>
        <v>0</v>
      </c>
      <c r="J17" s="234">
        <v>40160.68103921727</v>
      </c>
      <c r="K17" s="242">
        <f>'H -  $22M in new CAC Funding'!C15</f>
        <v>0</v>
      </c>
      <c r="L17" s="242">
        <v>73084</v>
      </c>
      <c r="M17" s="235">
        <f t="shared" si="0"/>
        <v>6374883.335176629</v>
      </c>
      <c r="N17" s="241"/>
      <c r="O17" s="281"/>
    </row>
    <row r="18" spans="2:15" x14ac:dyDescent="0.45">
      <c r="B18" s="233" t="s">
        <v>22</v>
      </c>
      <c r="C18" s="282">
        <f>'A- Summary'!C19-'B - Allocation by GL'!D18-'B - Allocation by GL'!J18-'B - Allocation by GL'!L18</f>
        <v>8214634.6670625079</v>
      </c>
      <c r="D18" s="234">
        <v>237510</v>
      </c>
      <c r="E18" s="282">
        <f>'D - Benefits'!F17</f>
        <v>-31042.251599999963</v>
      </c>
      <c r="F18" s="282">
        <f>'F - FY 17-18 Alloc and Realloc'!Z18</f>
        <v>34558.18784629507</v>
      </c>
      <c r="G18" s="282">
        <f>'F - FY 17-18 Alloc and Realloc'!AB18</f>
        <v>-1499.6117103063198</v>
      </c>
      <c r="H18" s="362">
        <f>'E -  Criminal Justice Alloc'!F19</f>
        <v>41221.41020034541</v>
      </c>
      <c r="I18" s="242">
        <f>'G -  Preliminary 1% Reduction'!K17</f>
        <v>0</v>
      </c>
      <c r="J18" s="234">
        <v>41743.967605737809</v>
      </c>
      <c r="K18" s="242">
        <f>'H -  $22M in new CAC Funding'!C16</f>
        <v>77157</v>
      </c>
      <c r="L18" s="242">
        <v>125539</v>
      </c>
      <c r="M18" s="235">
        <f t="shared" si="0"/>
        <v>8739822.3694045823</v>
      </c>
      <c r="N18" s="241"/>
      <c r="O18" s="281"/>
    </row>
    <row r="19" spans="2:15" x14ac:dyDescent="0.45">
      <c r="B19" s="233" t="s">
        <v>10</v>
      </c>
      <c r="C19" s="282">
        <f>'A- Summary'!C20-'B - Allocation by GL'!D19-'B - Allocation by GL'!J19-'B - Allocation by GL'!L19</f>
        <v>1870394.3514016536</v>
      </c>
      <c r="D19" s="234">
        <v>57003</v>
      </c>
      <c r="E19" s="282">
        <f>'D - Benefits'!F18</f>
        <v>21671.760109999985</v>
      </c>
      <c r="F19" s="282">
        <f>'F - FY 17-18 Alloc and Realloc'!Z19</f>
        <v>-14882.855868614453</v>
      </c>
      <c r="G19" s="282">
        <f>'F - FY 17-18 Alloc and Realloc'!AB19</f>
        <v>-349.59959709037037</v>
      </c>
      <c r="H19" s="362">
        <f>'E -  Criminal Justice Alloc'!F20</f>
        <v>5947.367640845855</v>
      </c>
      <c r="I19" s="242">
        <f>'G -  Preliminary 1% Reduction'!K18</f>
        <v>0</v>
      </c>
      <c r="J19" s="234">
        <v>34860.699103882318</v>
      </c>
      <c r="K19" s="242">
        <f>'H -  $22M in new CAC Funding'!C17</f>
        <v>0</v>
      </c>
      <c r="L19" s="242">
        <v>75586</v>
      </c>
      <c r="M19" s="235">
        <f t="shared" si="0"/>
        <v>2050230.7227906769</v>
      </c>
      <c r="N19" s="241"/>
      <c r="O19" s="281"/>
    </row>
    <row r="20" spans="2:15" x14ac:dyDescent="0.45">
      <c r="B20" s="233" t="s">
        <v>43</v>
      </c>
      <c r="C20" s="282">
        <f>'A- Summary'!C21-'B - Allocation by GL'!D20-'B - Allocation by GL'!J20-'B - Allocation by GL'!L20</f>
        <v>41340682.309980176</v>
      </c>
      <c r="D20" s="234">
        <v>1122339</v>
      </c>
      <c r="E20" s="282">
        <f>'D - Benefits'!F19</f>
        <v>-866725.41280000063</v>
      </c>
      <c r="F20" s="282">
        <f>'F - FY 17-18 Alloc and Realloc'!Z20</f>
        <v>818352.56364450604</v>
      </c>
      <c r="G20" s="282">
        <f>'F - FY 17-18 Alloc and Realloc'!AB20</f>
        <v>-8309.3352856486399</v>
      </c>
      <c r="H20" s="362">
        <f>'E -  Criminal Justice Alloc'!F21</f>
        <v>335103.40431524575</v>
      </c>
      <c r="I20" s="242">
        <f>'G -  Preliminary 1% Reduction'!K19</f>
        <v>-74550</v>
      </c>
      <c r="J20" s="234">
        <v>70253.445824768976</v>
      </c>
      <c r="K20" s="242">
        <f>'H -  $22M in new CAC Funding'!C18</f>
        <v>411043</v>
      </c>
      <c r="L20" s="242">
        <v>3544269</v>
      </c>
      <c r="M20" s="235">
        <f t="shared" si="0"/>
        <v>46692457.975679055</v>
      </c>
      <c r="N20" s="241"/>
      <c r="O20" s="281"/>
    </row>
    <row r="21" spans="2:15" x14ac:dyDescent="0.45">
      <c r="B21" s="233" t="s">
        <v>23</v>
      </c>
      <c r="C21" s="282">
        <f>'A- Summary'!C22-'B - Allocation by GL'!D21-'B - Allocation by GL'!J21-'B - Allocation by GL'!L21</f>
        <v>6502629.8435630444</v>
      </c>
      <c r="D21" s="234">
        <v>185312</v>
      </c>
      <c r="E21" s="282">
        <f>'D - Benefits'!F20</f>
        <v>105068.60360000003</v>
      </c>
      <c r="F21" s="282">
        <f>'F - FY 17-18 Alloc and Realloc'!Z21</f>
        <v>194174.62658696063</v>
      </c>
      <c r="G21" s="282">
        <f>'F - FY 17-18 Alloc and Realloc'!AB21</f>
        <v>-1195.8538936081193</v>
      </c>
      <c r="H21" s="362">
        <f>'E -  Criminal Justice Alloc'!F22</f>
        <v>61319.411193548643</v>
      </c>
      <c r="I21" s="242">
        <f>'G -  Preliminary 1% Reduction'!K20</f>
        <v>0</v>
      </c>
      <c r="J21" s="234">
        <v>40867.416576690826</v>
      </c>
      <c r="K21" s="242">
        <f>'H -  $22M in new CAC Funding'!C19</f>
        <v>134166</v>
      </c>
      <c r="L21" s="242">
        <v>45118</v>
      </c>
      <c r="M21" s="235">
        <f t="shared" si="0"/>
        <v>7267460.0476266369</v>
      </c>
      <c r="N21" s="241"/>
      <c r="O21" s="281"/>
    </row>
    <row r="22" spans="2:15" x14ac:dyDescent="0.45">
      <c r="B22" s="233" t="s">
        <v>24</v>
      </c>
      <c r="C22" s="282">
        <f>'A- Summary'!C23-'B - Allocation by GL'!D22-'B - Allocation by GL'!J22-'B - Allocation by GL'!L22</f>
        <v>3185759.7302054879</v>
      </c>
      <c r="D22" s="234">
        <v>93356</v>
      </c>
      <c r="E22" s="282">
        <f>'D - Benefits'!F21</f>
        <v>48157.437810000003</v>
      </c>
      <c r="F22" s="282">
        <f>'F - FY 17-18 Alloc and Realloc'!Z22</f>
        <v>34075.348416245135</v>
      </c>
      <c r="G22" s="282">
        <f>'F - FY 17-18 Alloc and Realloc'!AB22</f>
        <v>-591.20821460891727</v>
      </c>
      <c r="H22" s="362">
        <f>'E -  Criminal Justice Alloc'!F23</f>
        <v>12509.980210055075</v>
      </c>
      <c r="I22" s="242">
        <f>'G -  Preliminary 1% Reduction'!K21</f>
        <v>0</v>
      </c>
      <c r="J22" s="234">
        <v>36980.022471205826</v>
      </c>
      <c r="K22" s="242">
        <f>'H -  $22M in new CAC Funding'!C20</f>
        <v>0</v>
      </c>
      <c r="L22" s="242">
        <v>9123</v>
      </c>
      <c r="M22" s="235">
        <f t="shared" si="0"/>
        <v>3419370.310898385</v>
      </c>
      <c r="N22" s="241"/>
      <c r="O22" s="281"/>
    </row>
    <row r="23" spans="2:15" x14ac:dyDescent="0.45">
      <c r="B23" s="233" t="s">
        <v>11</v>
      </c>
      <c r="C23" s="282">
        <f>'A- Summary'!C24-'B - Allocation by GL'!D23-'B - Allocation by GL'!J23-'B - Allocation by GL'!L23</f>
        <v>2142854.2964293924</v>
      </c>
      <c r="D23" s="234">
        <v>65929</v>
      </c>
      <c r="E23" s="282">
        <f>'D - Benefits'!F22</f>
        <v>19933.095130000012</v>
      </c>
      <c r="F23" s="282">
        <f>'F - FY 17-18 Alloc and Realloc'!Z23</f>
        <v>-217457.47344362427</v>
      </c>
      <c r="G23" s="282">
        <f>'F - FY 17-18 Alloc and Realloc'!AB23</f>
        <v>94309.838867491577</v>
      </c>
      <c r="H23" s="362">
        <f>'E -  Criminal Justice Alloc'!F24</f>
        <v>6767.6942119970072</v>
      </c>
      <c r="I23" s="242">
        <f>'G -  Preliminary 1% Reduction'!K22</f>
        <v>-5987.23</v>
      </c>
      <c r="J23" s="234">
        <v>35648.042378116981</v>
      </c>
      <c r="K23" s="242">
        <f>'H -  $22M in new CAC Funding'!C21</f>
        <v>0</v>
      </c>
      <c r="L23" s="242">
        <v>7839</v>
      </c>
      <c r="M23" s="235">
        <f t="shared" si="0"/>
        <v>2149836.2635733737</v>
      </c>
      <c r="N23" s="241"/>
      <c r="O23" s="281"/>
    </row>
    <row r="24" spans="2:15" x14ac:dyDescent="0.45">
      <c r="B24" s="233" t="s">
        <v>54</v>
      </c>
      <c r="C24" s="282">
        <f>'A- Summary'!C25-'B - Allocation by GL'!D24-'B - Allocation by GL'!J24-'B - Allocation by GL'!L24</f>
        <v>497245126.28902835</v>
      </c>
      <c r="D24" s="234">
        <v>14700731</v>
      </c>
      <c r="E24" s="282">
        <f>'D - Benefits'!F23</f>
        <v>-220591.75770000147</v>
      </c>
      <c r="F24" s="282">
        <f>'F - FY 17-18 Alloc and Realloc'!Z24</f>
        <v>1019170.2575740218</v>
      </c>
      <c r="G24" s="282">
        <f>'F - FY 17-18 Alloc and Realloc'!AB24</f>
        <v>-92780.965737221617</v>
      </c>
      <c r="H24" s="362">
        <f>'E -  Criminal Justice Alloc'!F25</f>
        <v>3128520.4607277079</v>
      </c>
      <c r="I24" s="242">
        <f>'G -  Preliminary 1% Reduction'!K23</f>
        <v>-4351971.9800000004</v>
      </c>
      <c r="J24" s="234">
        <v>510281.64402709942</v>
      </c>
      <c r="K24" s="242">
        <f>'H -  $22M in new CAC Funding'!C22</f>
        <v>10529583</v>
      </c>
      <c r="L24" s="242">
        <v>18887969</v>
      </c>
      <c r="M24" s="235">
        <f t="shared" si="0"/>
        <v>541356036.94791985</v>
      </c>
      <c r="N24" s="241"/>
      <c r="O24" s="281"/>
    </row>
    <row r="25" spans="2:15" x14ac:dyDescent="0.45">
      <c r="B25" s="233" t="s">
        <v>25</v>
      </c>
      <c r="C25" s="282">
        <f>'A- Summary'!C26-'B - Allocation by GL'!D25-'B - Allocation by GL'!J25-'B - Allocation by GL'!L25</f>
        <v>7082229.5918712365</v>
      </c>
      <c r="D25" s="234">
        <v>200598</v>
      </c>
      <c r="E25" s="282">
        <f>'D - Benefits'!F24</f>
        <v>32253.710399999974</v>
      </c>
      <c r="F25" s="282">
        <f>'F - FY 17-18 Alloc and Realloc'!Z25</f>
        <v>-200687.89002984867</v>
      </c>
      <c r="G25" s="282">
        <f>'F - FY 17-18 Alloc and Realloc'!AB25</f>
        <v>-1336.8522538704601</v>
      </c>
      <c r="H25" s="362">
        <f>'E -  Criminal Justice Alloc'!F26</f>
        <v>43887.471556586657</v>
      </c>
      <c r="I25" s="242">
        <f>'G -  Preliminary 1% Reduction'!K24</f>
        <v>0</v>
      </c>
      <c r="J25" s="234">
        <v>40712.476792016794</v>
      </c>
      <c r="K25" s="242">
        <f>'H -  $22M in new CAC Funding'!C23</f>
        <v>94929</v>
      </c>
      <c r="L25" s="242">
        <v>384826</v>
      </c>
      <c r="M25" s="235">
        <f t="shared" si="0"/>
        <v>7677411.5083361212</v>
      </c>
      <c r="N25" s="241"/>
      <c r="O25" s="281"/>
    </row>
    <row r="26" spans="2:15" x14ac:dyDescent="0.45">
      <c r="B26" s="233" t="s">
        <v>26</v>
      </c>
      <c r="C26" s="282">
        <f>'A- Summary'!C27-'B - Allocation by GL'!D26-'B - Allocation by GL'!J26-'B - Allocation by GL'!L26</f>
        <v>11008778.090679305</v>
      </c>
      <c r="D26" s="234">
        <v>337855</v>
      </c>
      <c r="E26" s="282">
        <f>'D - Benefits'!F25</f>
        <v>158933.2621985873</v>
      </c>
      <c r="F26" s="282">
        <f>'F - FY 17-18 Alloc and Realloc'!Z26</f>
        <v>-441145.43247250572</v>
      </c>
      <c r="G26" s="282">
        <f>'F - FY 17-18 Alloc and Realloc'!AB26</f>
        <v>-2190.6445579397218</v>
      </c>
      <c r="H26" s="362">
        <f>'E -  Criminal Justice Alloc'!F27</f>
        <v>17431.93963696199</v>
      </c>
      <c r="I26" s="242">
        <f>'G -  Preliminary 1% Reduction'!K25</f>
        <v>0</v>
      </c>
      <c r="J26" s="234">
        <v>45776.957692500662</v>
      </c>
      <c r="K26" s="242">
        <f>'H -  $22M in new CAC Funding'!C24</f>
        <v>0</v>
      </c>
      <c r="L26" s="242">
        <v>644512</v>
      </c>
      <c r="M26" s="235">
        <f t="shared" si="0"/>
        <v>11769951.173176909</v>
      </c>
      <c r="N26" s="241"/>
      <c r="O26" s="281"/>
    </row>
    <row r="27" spans="2:15" x14ac:dyDescent="0.45">
      <c r="B27" s="233" t="s">
        <v>12</v>
      </c>
      <c r="C27" s="282">
        <f>'A- Summary'!C28-'B - Allocation by GL'!D27-'B - Allocation by GL'!J27-'B - Allocation by GL'!L27</f>
        <v>1035105.562381696</v>
      </c>
      <c r="D27" s="234">
        <v>33001</v>
      </c>
      <c r="E27" s="282">
        <f>'D - Benefits'!F26</f>
        <v>30528.042109999995</v>
      </c>
      <c r="F27" s="282">
        <f>'F - FY 17-18 Alloc and Realloc'!Z27</f>
        <v>6808.2457449226495</v>
      </c>
      <c r="G27" s="282">
        <f>'F - FY 17-18 Alloc and Realloc'!AB27</f>
        <v>75746.644373414572</v>
      </c>
      <c r="H27" s="362">
        <f>'E -  Criminal Justice Alloc'!F28</f>
        <v>4511.7961413313378</v>
      </c>
      <c r="I27" s="242">
        <f>'G -  Preliminary 1% Reduction'!K26</f>
        <v>0</v>
      </c>
      <c r="J27" s="234">
        <v>34846.799615248194</v>
      </c>
      <c r="K27" s="242">
        <f>'H -  $22M in new CAC Funding'!C25</f>
        <v>0</v>
      </c>
      <c r="L27" s="242">
        <v>22301</v>
      </c>
      <c r="M27" s="235">
        <f t="shared" si="0"/>
        <v>1242849.0903666127</v>
      </c>
      <c r="N27" s="241"/>
      <c r="O27" s="281"/>
    </row>
    <row r="28" spans="2:15" x14ac:dyDescent="0.45">
      <c r="B28" s="233" t="s">
        <v>27</v>
      </c>
      <c r="C28" s="282">
        <f>'A- Summary'!C29-'B - Allocation by GL'!D28-'B - Allocation by GL'!J28-'B - Allocation by GL'!L28</f>
        <v>5005480.5148539105</v>
      </c>
      <c r="D28" s="234">
        <v>139029</v>
      </c>
      <c r="E28" s="282">
        <f>'D - Benefits'!F27</f>
        <v>-10851.154499999986</v>
      </c>
      <c r="F28" s="282">
        <f>'F - FY 17-18 Alloc and Realloc'!Z28</f>
        <v>-25472.60026244109</v>
      </c>
      <c r="G28" s="282">
        <f>'F - FY 17-18 Alloc and Realloc'!AB28</f>
        <v>-959.03496234162424</v>
      </c>
      <c r="H28" s="362">
        <f>'E -  Criminal Justice Alloc'!F29</f>
        <v>39785.838700830893</v>
      </c>
      <c r="I28" s="242">
        <f>'G -  Preliminary 1% Reduction'!K27</f>
        <v>0</v>
      </c>
      <c r="J28" s="234">
        <v>38204.479095362469</v>
      </c>
      <c r="K28" s="242">
        <f>'H -  $22M in new CAC Funding'!C26</f>
        <v>0</v>
      </c>
      <c r="L28" s="242">
        <v>311771</v>
      </c>
      <c r="M28" s="235">
        <f t="shared" si="0"/>
        <v>5496988.0429253215</v>
      </c>
      <c r="N28" s="241"/>
      <c r="O28" s="281"/>
    </row>
    <row r="29" spans="2:15" x14ac:dyDescent="0.45">
      <c r="B29" s="233" t="s">
        <v>28</v>
      </c>
      <c r="C29" s="282">
        <f>'A- Summary'!C30-'B - Allocation by GL'!D29-'B - Allocation by GL'!J29-'B - Allocation by GL'!L29</f>
        <v>10837359.194924468</v>
      </c>
      <c r="D29" s="234">
        <v>312868</v>
      </c>
      <c r="E29" s="282">
        <f>'D - Benefits'!F28</f>
        <v>-245209.0907</v>
      </c>
      <c r="F29" s="282">
        <f>'F - FY 17-18 Alloc and Realloc'!Z29</f>
        <v>-295321.3999860445</v>
      </c>
      <c r="G29" s="282">
        <f>'F - FY 17-18 Alloc and Realloc'!AB29</f>
        <v>-2059.7973011205631</v>
      </c>
      <c r="H29" s="362">
        <f>'E -  Criminal Justice Alloc'!F30</f>
        <v>105206.88275013531</v>
      </c>
      <c r="I29" s="242">
        <f>'G -  Preliminary 1% Reduction'!K28</f>
        <v>-107734</v>
      </c>
      <c r="J29" s="234">
        <v>45470.611103541196</v>
      </c>
      <c r="K29" s="242">
        <f>'H -  $22M in new CAC Funding'!C27</f>
        <v>133493</v>
      </c>
      <c r="L29" s="242">
        <v>774827</v>
      </c>
      <c r="M29" s="235">
        <f t="shared" si="0"/>
        <v>11558900.400790976</v>
      </c>
      <c r="N29" s="241"/>
      <c r="O29" s="281"/>
    </row>
    <row r="30" spans="2:15" x14ac:dyDescent="0.45">
      <c r="B30" s="233" t="s">
        <v>13</v>
      </c>
      <c r="C30" s="282">
        <f>'A- Summary'!C31-'B - Allocation by GL'!D30-'B - Allocation by GL'!J30-'B - Allocation by GL'!L30</f>
        <v>789429.21517604007</v>
      </c>
      <c r="D30" s="234">
        <v>26220</v>
      </c>
      <c r="E30" s="282">
        <f>'D - Benefits'!F29</f>
        <v>4474.5910200000108</v>
      </c>
      <c r="F30" s="282">
        <f>'F - FY 17-18 Alloc and Realloc'!Z30</f>
        <v>-21003.649252567517</v>
      </c>
      <c r="G30" s="282">
        <f>'F - FY 17-18 Alloc and Realloc'!AB30</f>
        <v>3186.8857444176683</v>
      </c>
      <c r="H30" s="362">
        <f>'E -  Criminal Justice Alloc'!F31</f>
        <v>2460.979713453457</v>
      </c>
      <c r="I30" s="242">
        <f>'G -  Preliminary 1% Reduction'!K29</f>
        <v>0</v>
      </c>
      <c r="J30" s="234">
        <v>34457.242040820223</v>
      </c>
      <c r="K30" s="242">
        <f>'H -  $22M in new CAC Funding'!C28</f>
        <v>0</v>
      </c>
      <c r="L30" s="242">
        <v>31967</v>
      </c>
      <c r="M30" s="235">
        <f t="shared" si="0"/>
        <v>871192.26444216387</v>
      </c>
      <c r="N30" s="241"/>
      <c r="O30" s="281"/>
    </row>
    <row r="31" spans="2:15" x14ac:dyDescent="0.45">
      <c r="B31" s="233" t="s">
        <v>14</v>
      </c>
      <c r="C31" s="282">
        <f>'A- Summary'!C32-'B - Allocation by GL'!D31-'B - Allocation by GL'!J31-'B - Allocation by GL'!L31</f>
        <v>1547904.4186737901</v>
      </c>
      <c r="D31" s="234">
        <v>43038</v>
      </c>
      <c r="E31" s="282">
        <f>'D - Benefits'!F30</f>
        <v>66470.506100000013</v>
      </c>
      <c r="F31" s="282">
        <f>'F - FY 17-18 Alloc and Realloc'!Z31</f>
        <v>-20640.858698980679</v>
      </c>
      <c r="G31" s="282">
        <f>'F - FY 17-18 Alloc and Realloc'!AB31</f>
        <v>124224.73404901498</v>
      </c>
      <c r="H31" s="362">
        <f>'E -  Criminal Justice Alloc'!F32</f>
        <v>2666.0613562412454</v>
      </c>
      <c r="I31" s="242">
        <f>'G -  Preliminary 1% Reduction'!K30</f>
        <v>0</v>
      </c>
      <c r="J31" s="234">
        <v>34632.078083472203</v>
      </c>
      <c r="K31" s="242">
        <f>'H -  $22M in new CAC Funding'!C29</f>
        <v>0</v>
      </c>
      <c r="L31" s="242">
        <v>85641</v>
      </c>
      <c r="M31" s="235">
        <f t="shared" si="0"/>
        <v>1883935.9395635379</v>
      </c>
      <c r="N31" s="241"/>
      <c r="O31" s="281"/>
    </row>
    <row r="32" spans="2:15" x14ac:dyDescent="0.45">
      <c r="B32" s="233" t="s">
        <v>44</v>
      </c>
      <c r="C32" s="282">
        <f>'A- Summary'!C33-'B - Allocation by GL'!D32-'B - Allocation by GL'!J32-'B - Allocation by GL'!L32</f>
        <v>16638013.407613233</v>
      </c>
      <c r="D32" s="234">
        <v>472462</v>
      </c>
      <c r="E32" s="282">
        <f>'D - Benefits'!F31</f>
        <v>42356.832089999953</v>
      </c>
      <c r="F32" s="282">
        <f>'F - FY 17-18 Alloc and Realloc'!Z32</f>
        <v>193760.98299856251</v>
      </c>
      <c r="G32" s="282">
        <f>'F - FY 17-18 Alloc and Realloc'!AB32</f>
        <v>-3088.0644204237519</v>
      </c>
      <c r="H32" s="362">
        <f>'E -  Criminal Justice Alloc'!F33</f>
        <v>35274.042559499554</v>
      </c>
      <c r="I32" s="242">
        <f>'G -  Preliminary 1% Reduction'!K31</f>
        <v>0</v>
      </c>
      <c r="J32" s="234">
        <v>53749.453345480462</v>
      </c>
      <c r="K32" s="242">
        <f>'H -  $22M in new CAC Funding'!C30</f>
        <v>121417</v>
      </c>
      <c r="L32" s="242">
        <v>277496</v>
      </c>
      <c r="M32" s="235">
        <f t="shared" si="0"/>
        <v>17831441.654186353</v>
      </c>
      <c r="N32" s="241"/>
      <c r="O32" s="281"/>
    </row>
    <row r="33" spans="2:15" x14ac:dyDescent="0.45">
      <c r="B33" s="233" t="s">
        <v>29</v>
      </c>
      <c r="C33" s="282">
        <f>'A- Summary'!C34-'B - Allocation by GL'!D33-'B - Allocation by GL'!J33-'B - Allocation by GL'!L33</f>
        <v>6925226.2711710641</v>
      </c>
      <c r="D33" s="234">
        <v>199584</v>
      </c>
      <c r="E33" s="282">
        <f>'D - Benefits'!F32</f>
        <v>26036.597200000055</v>
      </c>
      <c r="F33" s="282">
        <f>'F - FY 17-18 Alloc and Realloc'!Z33</f>
        <v>-50148.218582349364</v>
      </c>
      <c r="G33" s="282">
        <f>'F - FY 17-18 Alloc and Realloc'!AB33</f>
        <v>-1261.5807767915126</v>
      </c>
      <c r="H33" s="362">
        <f>'E -  Criminal Justice Alloc'!F34</f>
        <v>15586.204851871897</v>
      </c>
      <c r="I33" s="242">
        <f>'G -  Preliminary 1% Reduction'!K32</f>
        <v>-317287</v>
      </c>
      <c r="J33" s="234">
        <v>40249.842307445535</v>
      </c>
      <c r="K33" s="242">
        <f>'H -  $22M in new CAC Funding'!C31</f>
        <v>52932</v>
      </c>
      <c r="L33" s="242">
        <v>309796</v>
      </c>
      <c r="M33" s="235">
        <f t="shared" si="0"/>
        <v>7200714.1161712417</v>
      </c>
      <c r="N33" s="241"/>
      <c r="O33" s="281"/>
    </row>
    <row r="34" spans="2:15" x14ac:dyDescent="0.45">
      <c r="B34" s="233" t="s">
        <v>30</v>
      </c>
      <c r="C34" s="282">
        <f>'A- Summary'!C35-'B - Allocation by GL'!D34-'B - Allocation by GL'!J34-'B - Allocation by GL'!L34</f>
        <v>4655413.9140506545</v>
      </c>
      <c r="D34" s="234">
        <v>139614</v>
      </c>
      <c r="E34" s="282">
        <f>'D - Benefits'!F33</f>
        <v>119536.26580000002</v>
      </c>
      <c r="F34" s="282">
        <f>'F - FY 17-18 Alloc and Realloc'!Z34</f>
        <v>134931.30536255153</v>
      </c>
      <c r="G34" s="282">
        <f>'F - FY 17-18 Alloc and Realloc'!AB34</f>
        <v>-829.16355545713327</v>
      </c>
      <c r="H34" s="362">
        <f>'E -  Criminal Justice Alloc'!F35</f>
        <v>2460.979713453457</v>
      </c>
      <c r="I34" s="242">
        <f>'G -  Preliminary 1% Reduction'!K33</f>
        <v>0</v>
      </c>
      <c r="J34" s="234">
        <v>38651.726520609656</v>
      </c>
      <c r="K34" s="242">
        <f>'H -  $22M in new CAC Funding'!C32</f>
        <v>0</v>
      </c>
      <c r="L34" s="242">
        <v>95495</v>
      </c>
      <c r="M34" s="235">
        <f t="shared" si="0"/>
        <v>5185274.0278918128</v>
      </c>
      <c r="N34" s="241"/>
      <c r="O34" s="281"/>
    </row>
    <row r="35" spans="2:15" x14ac:dyDescent="0.45">
      <c r="B35" s="233" t="s">
        <v>55</v>
      </c>
      <c r="C35" s="282">
        <f>'A- Summary'!C36-'B - Allocation by GL'!D35-'B - Allocation by GL'!J35-'B - Allocation by GL'!L35</f>
        <v>129626948.51363221</v>
      </c>
      <c r="D35" s="234">
        <v>3891207</v>
      </c>
      <c r="E35" s="282">
        <f>'D - Benefits'!F34</f>
        <v>-1248481.8844000031</v>
      </c>
      <c r="F35" s="282">
        <f>'F - FY 17-18 Alloc and Realloc'!Z35</f>
        <v>-3113896.4777875282</v>
      </c>
      <c r="G35" s="282">
        <f>'F - FY 17-18 Alloc and Realloc'!AB35</f>
        <v>-24189.103411594479</v>
      </c>
      <c r="H35" s="362">
        <f>'E -  Criminal Justice Alloc'!F36</f>
        <v>384528.08022710274</v>
      </c>
      <c r="I35" s="242">
        <f>'G -  Preliminary 1% Reduction'!K34</f>
        <v>0</v>
      </c>
      <c r="J35" s="234">
        <v>176822.40572645847</v>
      </c>
      <c r="K35" s="242">
        <f>'H -  $22M in new CAC Funding'!C33</f>
        <v>830179</v>
      </c>
      <c r="L35" s="242">
        <v>6929921</v>
      </c>
      <c r="M35" s="235">
        <f t="shared" si="0"/>
        <v>137453038.53398663</v>
      </c>
      <c r="N35" s="241"/>
      <c r="O35" s="281"/>
    </row>
    <row r="36" spans="2:15" x14ac:dyDescent="0.45">
      <c r="B36" s="233" t="s">
        <v>31</v>
      </c>
      <c r="C36" s="282">
        <f>'A- Summary'!C37-'B - Allocation by GL'!D36-'B - Allocation by GL'!J36-'B - Allocation by GL'!L36</f>
        <v>14458707.298444213</v>
      </c>
      <c r="D36" s="234">
        <v>410174</v>
      </c>
      <c r="E36" s="282">
        <f>'D - Benefits'!F35</f>
        <v>199413.25988999987</v>
      </c>
      <c r="F36" s="282">
        <f>'F - FY 17-18 Alloc and Realloc'!Z36</f>
        <v>364803.60421868227</v>
      </c>
      <c r="G36" s="282">
        <f>'F - FY 17-18 Alloc and Realloc'!AB36</f>
        <v>-2829.3152599021687</v>
      </c>
      <c r="H36" s="362">
        <f>'E -  Criminal Justice Alloc'!F37</f>
        <v>44502.716484950019</v>
      </c>
      <c r="I36" s="242">
        <f>'G -  Preliminary 1% Reduction'!K35</f>
        <v>-3993.4700000000003</v>
      </c>
      <c r="J36" s="234">
        <v>48713.37574785763</v>
      </c>
      <c r="K36" s="242">
        <f>'H -  $22M in new CAC Funding'!C34</f>
        <v>160260</v>
      </c>
      <c r="L36" s="242">
        <v>634797</v>
      </c>
      <c r="M36" s="235">
        <f t="shared" si="0"/>
        <v>16314548.469525801</v>
      </c>
      <c r="N36" s="241"/>
      <c r="O36" s="281"/>
    </row>
    <row r="37" spans="2:15" x14ac:dyDescent="0.45">
      <c r="B37" s="233" t="s">
        <v>15</v>
      </c>
      <c r="C37" s="282">
        <f>'A- Summary'!C38-'B - Allocation by GL'!D37-'B - Allocation by GL'!J37-'B - Allocation by GL'!L37</f>
        <v>1152543.964844211</v>
      </c>
      <c r="D37" s="234">
        <v>36529</v>
      </c>
      <c r="E37" s="282">
        <f>'D - Benefits'!F36</f>
        <v>8832.6476199999997</v>
      </c>
      <c r="F37" s="282">
        <f>'F - FY 17-18 Alloc and Realloc'!Z37</f>
        <v>-160301.23318708537</v>
      </c>
      <c r="G37" s="282">
        <f>'F - FY 17-18 Alloc and Realloc'!AB37</f>
        <v>-203.42529151992639</v>
      </c>
      <c r="H37" s="362">
        <f>'E -  Criminal Justice Alloc'!F38</f>
        <v>1230.4898567267285</v>
      </c>
      <c r="I37" s="242">
        <f>'G -  Preliminary 1% Reduction'!K36</f>
        <v>0</v>
      </c>
      <c r="J37" s="234">
        <v>34996.85830859586</v>
      </c>
      <c r="K37" s="242">
        <f>'H -  $22M in new CAC Funding'!C35</f>
        <v>0</v>
      </c>
      <c r="L37" s="242">
        <v>14929</v>
      </c>
      <c r="M37" s="235">
        <f t="shared" si="0"/>
        <v>1088557.3021509282</v>
      </c>
      <c r="N37" s="241"/>
      <c r="O37" s="281"/>
    </row>
    <row r="38" spans="2:15" x14ac:dyDescent="0.45">
      <c r="B38" s="233" t="s">
        <v>56</v>
      </c>
      <c r="C38" s="282">
        <f>'A- Summary'!C39-'B - Allocation by GL'!D38-'B - Allocation by GL'!J38-'B - Allocation by GL'!L38</f>
        <v>80327576.862594649</v>
      </c>
      <c r="D38" s="234">
        <v>2296005</v>
      </c>
      <c r="E38" s="282">
        <f>'D - Benefits'!F37</f>
        <v>1370087.1805999987</v>
      </c>
      <c r="F38" s="282">
        <f>'F - FY 17-18 Alloc and Realloc'!Z38</f>
        <v>2540906.2395058963</v>
      </c>
      <c r="G38" s="282">
        <f>'F - FY 17-18 Alloc and Realloc'!AB38</f>
        <v>-15525.622093651073</v>
      </c>
      <c r="H38" s="362">
        <f>'E -  Criminal Justice Alloc'!F39</f>
        <v>915074.29011911049</v>
      </c>
      <c r="I38" s="242">
        <f>'G -  Preliminary 1% Reduction'!K37</f>
        <v>0</v>
      </c>
      <c r="J38" s="234">
        <v>124803.63924312417</v>
      </c>
      <c r="K38" s="242">
        <f>'H -  $22M in new CAC Funding'!C36</f>
        <v>1571901</v>
      </c>
      <c r="L38" s="242">
        <v>923657</v>
      </c>
      <c r="M38" s="235">
        <f t="shared" si="0"/>
        <v>90054485.589969143</v>
      </c>
      <c r="N38" s="241"/>
      <c r="O38" s="281"/>
    </row>
    <row r="39" spans="2:15" x14ac:dyDescent="0.45">
      <c r="B39" s="233" t="s">
        <v>57</v>
      </c>
      <c r="C39" s="282">
        <f>'A- Summary'!C40-'B - Allocation by GL'!D39-'B - Allocation by GL'!J39-'B - Allocation by GL'!L39</f>
        <v>69108761.090871066</v>
      </c>
      <c r="D39" s="234">
        <v>2090813</v>
      </c>
      <c r="E39" s="282">
        <f>'D - Benefits'!F38</f>
        <v>-19334.885199999604</v>
      </c>
      <c r="F39" s="282">
        <f>'F - FY 17-18 Alloc and Realloc'!Z39</f>
        <v>1033549.1481632236</v>
      </c>
      <c r="G39" s="282">
        <f>'F - FY 17-18 Alloc and Realloc'!AB39</f>
        <v>-13494.116586586986</v>
      </c>
      <c r="H39" s="362">
        <f>'E -  Criminal Justice Alloc'!F40</f>
        <v>143557.14995145169</v>
      </c>
      <c r="I39" s="242">
        <f>'G -  Preliminary 1% Reduction'!K38</f>
        <v>-428761.96</v>
      </c>
      <c r="J39" s="234">
        <v>98412.136280478735</v>
      </c>
      <c r="K39" s="242">
        <f>'H -  $22M in new CAC Funding'!C37</f>
        <v>814561</v>
      </c>
      <c r="L39" s="242">
        <v>3560592</v>
      </c>
      <c r="M39" s="235">
        <f t="shared" si="0"/>
        <v>76388654.563479662</v>
      </c>
      <c r="N39" s="241"/>
      <c r="O39" s="281"/>
    </row>
    <row r="40" spans="2:15" x14ac:dyDescent="0.45">
      <c r="B40" s="233" t="s">
        <v>16</v>
      </c>
      <c r="C40" s="282">
        <f>'A- Summary'!C41-'B - Allocation by GL'!D40-'B - Allocation by GL'!J40-'B - Allocation by GL'!L40</f>
        <v>2216308.9931710027</v>
      </c>
      <c r="D40" s="234">
        <v>70059</v>
      </c>
      <c r="E40" s="282">
        <f>'D - Benefits'!F39</f>
        <v>8326.0546999999933</v>
      </c>
      <c r="F40" s="282">
        <f>'F - FY 17-18 Alloc and Realloc'!Z40</f>
        <v>105382.35740071695</v>
      </c>
      <c r="G40" s="282">
        <f>'F - FY 17-18 Alloc and Realloc'!AB40</f>
        <v>-461.27914360307892</v>
      </c>
      <c r="H40" s="362">
        <f>'E -  Criminal Justice Alloc'!F41</f>
        <v>8818.5106398748885</v>
      </c>
      <c r="I40" s="242">
        <f>'G -  Preliminary 1% Reduction'!K39</f>
        <v>0</v>
      </c>
      <c r="J40" s="234">
        <v>36678.882379661154</v>
      </c>
      <c r="K40" s="242">
        <f>'H -  $22M in new CAC Funding'!C38</f>
        <v>19999</v>
      </c>
      <c r="L40" s="242">
        <v>34642</v>
      </c>
      <c r="M40" s="235">
        <f t="shared" si="0"/>
        <v>2499753.5191476527</v>
      </c>
      <c r="N40" s="241"/>
      <c r="O40" s="281"/>
    </row>
    <row r="41" spans="2:15" x14ac:dyDescent="0.45">
      <c r="B41" s="233" t="s">
        <v>58</v>
      </c>
      <c r="C41" s="282">
        <f>'A- Summary'!C42-'B - Allocation by GL'!D41-'B - Allocation by GL'!J41-'B - Allocation by GL'!L41</f>
        <v>90092223.014276728</v>
      </c>
      <c r="D41" s="234">
        <v>2569673</v>
      </c>
      <c r="E41" s="282">
        <f>'D - Benefits'!F40</f>
        <v>608728.96519999881</v>
      </c>
      <c r="F41" s="282">
        <f>'F - FY 17-18 Alloc and Realloc'!Z41</f>
        <v>1683826.2975337468</v>
      </c>
      <c r="G41" s="282">
        <f>'F - FY 17-18 Alloc and Realloc'!AB41</f>
        <v>-16776.204805606772</v>
      </c>
      <c r="H41" s="362">
        <f>'E -  Criminal Justice Alloc'!F42</f>
        <v>915689.53504747397</v>
      </c>
      <c r="I41" s="242">
        <f>'G -  Preliminary 1% Reduction'!K40</f>
        <v>-697432.88</v>
      </c>
      <c r="J41" s="234">
        <v>126593.32624287384</v>
      </c>
      <c r="K41" s="242">
        <f>'H -  $22M in new CAC Funding'!C39</f>
        <v>1550542</v>
      </c>
      <c r="L41" s="242">
        <v>1264733</v>
      </c>
      <c r="M41" s="235">
        <f t="shared" si="0"/>
        <v>98097800.053495213</v>
      </c>
      <c r="N41" s="241"/>
      <c r="O41" s="281"/>
    </row>
    <row r="42" spans="2:15" x14ac:dyDescent="0.45">
      <c r="B42" s="233" t="s">
        <v>59</v>
      </c>
      <c r="C42" s="282">
        <f>'A- Summary'!C43-'B - Allocation by GL'!D42-'B - Allocation by GL'!J42-'B - Allocation by GL'!L42</f>
        <v>127942593.22936402</v>
      </c>
      <c r="D42" s="234">
        <v>3882649</v>
      </c>
      <c r="E42" s="282">
        <f>'D - Benefits'!F41</f>
        <v>1879544.0492999991</v>
      </c>
      <c r="F42" s="282">
        <f>'F - FY 17-18 Alloc and Realloc'!Z42</f>
        <v>-1770123.3020627368</v>
      </c>
      <c r="G42" s="282">
        <f>'F - FY 17-18 Alloc and Realloc'!AB42</f>
        <v>-24293.101840124196</v>
      </c>
      <c r="H42" s="362">
        <f>'E -  Criminal Justice Alloc'!F43</f>
        <v>495887.41226087167</v>
      </c>
      <c r="I42" s="242">
        <f>'G -  Preliminary 1% Reduction'!K41</f>
        <v>0</v>
      </c>
      <c r="J42" s="234">
        <v>176565.9857287801</v>
      </c>
      <c r="K42" s="242">
        <f>'H -  $22M in new CAC Funding'!C40</f>
        <v>753988</v>
      </c>
      <c r="L42" s="242">
        <v>2853599</v>
      </c>
      <c r="M42" s="235">
        <f t="shared" si="0"/>
        <v>136190410.27275082</v>
      </c>
      <c r="N42" s="241"/>
      <c r="O42" s="281"/>
    </row>
    <row r="43" spans="2:15" x14ac:dyDescent="0.45">
      <c r="B43" s="233" t="s">
        <v>60</v>
      </c>
      <c r="C43" s="282">
        <f>'A- Summary'!C44-'B - Allocation by GL'!D43-'B - Allocation by GL'!J43-'B - Allocation by GL'!L43</f>
        <v>49662149.28431873</v>
      </c>
      <c r="D43" s="234">
        <v>1531727</v>
      </c>
      <c r="E43" s="282">
        <f>'D - Benefits'!F42</f>
        <v>314519.33000000007</v>
      </c>
      <c r="F43" s="282">
        <f>'F - FY 17-18 Alloc and Realloc'!Z43</f>
        <v>-5262206.5728568807</v>
      </c>
      <c r="G43" s="282">
        <f>'F - FY 17-18 Alloc and Realloc'!AB43</f>
        <v>-9574.9982711202338</v>
      </c>
      <c r="H43" s="362">
        <f>'E -  Criminal Justice Alloc'!F44</f>
        <v>45323.043056101174</v>
      </c>
      <c r="I43" s="242">
        <f>'G -  Preliminary 1% Reduction'!K42</f>
        <v>-385692.65</v>
      </c>
      <c r="J43" s="234">
        <v>71127.904957533232</v>
      </c>
      <c r="K43" s="242">
        <f>'H -  $22M in new CAC Funding'!C41</f>
        <v>460215</v>
      </c>
      <c r="L43" s="242">
        <v>5487135</v>
      </c>
      <c r="M43" s="235">
        <f t="shared" si="0"/>
        <v>51914722.34120436</v>
      </c>
      <c r="N43" s="241"/>
      <c r="O43" s="281"/>
    </row>
    <row r="44" spans="2:15" x14ac:dyDescent="0.45">
      <c r="B44" s="233" t="s">
        <v>45</v>
      </c>
      <c r="C44" s="282">
        <f>'A- Summary'!C45-'B - Allocation by GL'!D44-'B - Allocation by GL'!J44-'B - Allocation by GL'!L44</f>
        <v>30828630.568011642</v>
      </c>
      <c r="D44" s="234">
        <v>859541</v>
      </c>
      <c r="E44" s="282">
        <f>'D - Benefits'!F43</f>
        <v>346127.96969999978</v>
      </c>
      <c r="F44" s="282">
        <f>'F - FY 17-18 Alloc and Realloc'!Z44</f>
        <v>923397.81521211844</v>
      </c>
      <c r="G44" s="282">
        <f>'F - FY 17-18 Alloc and Realloc'!AB44</f>
        <v>-6190.8705643378789</v>
      </c>
      <c r="H44" s="362">
        <f>'E -  Criminal Justice Alloc'!F45</f>
        <v>139045.35381012034</v>
      </c>
      <c r="I44" s="242">
        <f>'G -  Preliminary 1% Reduction'!K43</f>
        <v>0</v>
      </c>
      <c r="J44" s="234">
        <v>65065.35709726793</v>
      </c>
      <c r="K44" s="242">
        <f>'H -  $22M in new CAC Funding'!C42</f>
        <v>380292</v>
      </c>
      <c r="L44" s="242">
        <v>1245357</v>
      </c>
      <c r="M44" s="235">
        <f t="shared" si="0"/>
        <v>34781266.193266809</v>
      </c>
      <c r="N44" s="241"/>
      <c r="O44" s="281"/>
    </row>
    <row r="45" spans="2:15" x14ac:dyDescent="0.45">
      <c r="B45" s="233" t="s">
        <v>32</v>
      </c>
      <c r="C45" s="282">
        <f>'A- Summary'!C46-'B - Allocation by GL'!D45-'B - Allocation by GL'!J45-'B - Allocation by GL'!L45</f>
        <v>12326799.468574407</v>
      </c>
      <c r="D45" s="234">
        <v>376713</v>
      </c>
      <c r="E45" s="282">
        <f>'D - Benefits'!F44</f>
        <v>282758.43329999998</v>
      </c>
      <c r="F45" s="282">
        <f>'F - FY 17-18 Alloc and Realloc'!Z45</f>
        <v>-509480.96046419884</v>
      </c>
      <c r="G45" s="282">
        <f>'F - FY 17-18 Alloc and Realloc'!AB45</f>
        <v>-2281.7022410231998</v>
      </c>
      <c r="H45" s="362">
        <f>'E -  Criminal Justice Alloc'!F46</f>
        <v>70753.166761786895</v>
      </c>
      <c r="I45" s="242">
        <f>'G -  Preliminary 1% Reduction'!K44</f>
        <v>0</v>
      </c>
      <c r="J45" s="234">
        <v>46237.221361284828</v>
      </c>
      <c r="K45" s="242">
        <f>'H -  $22M in new CAC Funding'!C43</f>
        <v>96497</v>
      </c>
      <c r="L45" s="242">
        <v>298958</v>
      </c>
      <c r="M45" s="235">
        <f t="shared" si="0"/>
        <v>12986953.627292257</v>
      </c>
      <c r="N45" s="241"/>
      <c r="O45" s="281"/>
    </row>
    <row r="46" spans="2:15" x14ac:dyDescent="0.45">
      <c r="B46" s="233" t="s">
        <v>46</v>
      </c>
      <c r="C46" s="282">
        <f>'A- Summary'!C47-'B - Allocation by GL'!D46-'B - Allocation by GL'!J46-'B - Allocation by GL'!L46</f>
        <v>30958957.618529405</v>
      </c>
      <c r="D46" s="234">
        <v>932577</v>
      </c>
      <c r="E46" s="282">
        <f>'D - Benefits'!F45</f>
        <v>-536099.06559999986</v>
      </c>
      <c r="F46" s="282">
        <f>'F - FY 17-18 Alloc and Realloc'!Z46</f>
        <v>214991.76927254815</v>
      </c>
      <c r="G46" s="282">
        <f>'F - FY 17-18 Alloc and Realloc'!AB46</f>
        <v>-6005.6217130079849</v>
      </c>
      <c r="H46" s="362">
        <f>'E -  Criminal Justice Alloc'!F47</f>
        <v>42656.981699859927</v>
      </c>
      <c r="I46" s="242">
        <f>'G -  Preliminary 1% Reduction'!K45</f>
        <v>0</v>
      </c>
      <c r="J46" s="234">
        <v>67661.121464628697</v>
      </c>
      <c r="K46" s="242">
        <f>'H -  $22M in new CAC Funding'!C44</f>
        <v>180595</v>
      </c>
      <c r="L46" s="242">
        <v>2411113</v>
      </c>
      <c r="M46" s="235">
        <f t="shared" si="0"/>
        <v>34266447.803653434</v>
      </c>
      <c r="N46" s="241"/>
      <c r="O46" s="281"/>
    </row>
    <row r="47" spans="2:15" x14ac:dyDescent="0.45">
      <c r="B47" s="233" t="s">
        <v>47</v>
      </c>
      <c r="C47" s="282">
        <f>'A- Summary'!C48-'B - Allocation by GL'!D47-'B - Allocation by GL'!J47-'B - Allocation by GL'!L47</f>
        <v>19315812.258429922</v>
      </c>
      <c r="D47" s="234">
        <v>569017</v>
      </c>
      <c r="E47" s="282">
        <f>'D - Benefits'!F46</f>
        <v>-7452.6044999996202</v>
      </c>
      <c r="F47" s="282">
        <f>'F - FY 17-18 Alloc and Realloc'!Z47</f>
        <v>225361.11267882679</v>
      </c>
      <c r="G47" s="282">
        <f>'F - FY 17-18 Alloc and Realloc'!AB47</f>
        <v>-3770.6564016124171</v>
      </c>
      <c r="H47" s="362">
        <f>'E -  Criminal Justice Alloc'!F48</f>
        <v>74239.554689179306</v>
      </c>
      <c r="I47" s="242">
        <f>'G -  Preliminary 1% Reduction'!K46</f>
        <v>0</v>
      </c>
      <c r="J47" s="234">
        <v>53599.906004557459</v>
      </c>
      <c r="K47" s="242">
        <f>'H -  $22M in new CAC Funding'!C45</f>
        <v>115756</v>
      </c>
      <c r="L47" s="242">
        <v>1597662</v>
      </c>
      <c r="M47" s="235">
        <f t="shared" si="0"/>
        <v>21940224.570900876</v>
      </c>
      <c r="N47" s="241"/>
      <c r="O47" s="281"/>
    </row>
    <row r="48" spans="2:15" x14ac:dyDescent="0.45">
      <c r="B48" s="233" t="s">
        <v>61</v>
      </c>
      <c r="C48" s="282">
        <f>'A- Summary'!C49-'B - Allocation by GL'!D48-'B - Allocation by GL'!J48-'B - Allocation by GL'!L48</f>
        <v>71155667.648928985</v>
      </c>
      <c r="D48" s="234">
        <v>2129236</v>
      </c>
      <c r="E48" s="282">
        <f>'D - Benefits'!F47</f>
        <v>1063634.4128800067</v>
      </c>
      <c r="F48" s="282">
        <f>'F - FY 17-18 Alloc and Realloc'!Z48</f>
        <v>-1844228.7954191985</v>
      </c>
      <c r="G48" s="282">
        <f>'F - FY 17-18 Alloc and Realloc'!AB48</f>
        <v>-13861.166033576568</v>
      </c>
      <c r="H48" s="362">
        <f>'E -  Criminal Justice Alloc'!F49</f>
        <v>142326.66009472497</v>
      </c>
      <c r="I48" s="242">
        <f>'G -  Preliminary 1% Reduction'!K47</f>
        <v>0</v>
      </c>
      <c r="J48" s="234">
        <v>116432.70707816081</v>
      </c>
      <c r="K48" s="242">
        <f>'H -  $22M in new CAC Funding'!C46</f>
        <v>433584</v>
      </c>
      <c r="L48" s="242">
        <v>2309467</v>
      </c>
      <c r="M48" s="235">
        <f t="shared" si="0"/>
        <v>75492258.467529088</v>
      </c>
      <c r="N48" s="241"/>
      <c r="O48" s="281"/>
    </row>
    <row r="49" spans="2:15" x14ac:dyDescent="0.45">
      <c r="B49" s="233" t="s">
        <v>33</v>
      </c>
      <c r="C49" s="282">
        <f>'A- Summary'!C50-'B - Allocation by GL'!D49-'B - Allocation by GL'!J49-'B - Allocation by GL'!L49</f>
        <v>10879177.591538412</v>
      </c>
      <c r="D49" s="234">
        <v>321970</v>
      </c>
      <c r="E49" s="282">
        <f>'D - Benefits'!F48</f>
        <v>130493.62484000003</v>
      </c>
      <c r="F49" s="282">
        <f>'F - FY 17-18 Alloc and Realloc'!Z49</f>
        <v>52020.404830229236</v>
      </c>
      <c r="G49" s="282">
        <f>'F - FY 17-18 Alloc and Realloc'!AB49</f>
        <v>-2166.6913452588738</v>
      </c>
      <c r="H49" s="362">
        <f>'E -  Criminal Justice Alloc'!F50</f>
        <v>7998.1840687237363</v>
      </c>
      <c r="I49" s="242">
        <f>'G -  Preliminary 1% Reduction'!K48</f>
        <v>0</v>
      </c>
      <c r="J49" s="234">
        <v>46195.801814886814</v>
      </c>
      <c r="K49" s="242">
        <f>'H -  $22M in new CAC Funding'!C47</f>
        <v>78500</v>
      </c>
      <c r="L49" s="242">
        <v>203558</v>
      </c>
      <c r="M49" s="235">
        <f t="shared" si="0"/>
        <v>11717746.915746994</v>
      </c>
      <c r="N49" s="241"/>
      <c r="O49" s="281"/>
    </row>
    <row r="50" spans="2:15" x14ac:dyDescent="0.45">
      <c r="B50" s="233" t="s">
        <v>34</v>
      </c>
      <c r="C50" s="282">
        <f>'A- Summary'!C51-'B - Allocation by GL'!D50-'B - Allocation by GL'!J50-'B - Allocation by GL'!L50</f>
        <v>12074078.634578181</v>
      </c>
      <c r="D50" s="234">
        <v>337674</v>
      </c>
      <c r="E50" s="282">
        <f>'D - Benefits'!F49</f>
        <v>125540.09001000004</v>
      </c>
      <c r="F50" s="282">
        <f>'F - FY 17-18 Alloc and Realloc'!Z50</f>
        <v>331746.96128039644</v>
      </c>
      <c r="G50" s="282">
        <f>'F - FY 17-18 Alloc and Realloc'!AB50</f>
        <v>-1901.4387736499305</v>
      </c>
      <c r="H50" s="362">
        <f>'E -  Criminal Justice Alloc'!F51</f>
        <v>73419.228118028142</v>
      </c>
      <c r="I50" s="242">
        <f>'G -  Preliminary 1% Reduction'!K49</f>
        <v>0</v>
      </c>
      <c r="J50" s="234">
        <v>42436.524735072875</v>
      </c>
      <c r="K50" s="242">
        <f>'H -  $22M in new CAC Funding'!C48</f>
        <v>101252</v>
      </c>
      <c r="L50" s="242">
        <v>262222</v>
      </c>
      <c r="M50" s="235">
        <f t="shared" si="0"/>
        <v>13346467.999948028</v>
      </c>
      <c r="N50" s="241"/>
      <c r="O50" s="281"/>
    </row>
    <row r="51" spans="2:15" x14ac:dyDescent="0.45">
      <c r="B51" s="233" t="s">
        <v>17</v>
      </c>
      <c r="C51" s="282">
        <f>'A- Summary'!C52-'B - Allocation by GL'!D51-'B - Allocation by GL'!J51-'B - Allocation by GL'!L51</f>
        <v>682542.44505858421</v>
      </c>
      <c r="D51" s="234">
        <v>21571</v>
      </c>
      <c r="E51" s="282">
        <f>'D - Benefits'!F50</f>
        <v>9859.4070000000083</v>
      </c>
      <c r="F51" s="282">
        <f>'F - FY 17-18 Alloc and Realloc'!Z51</f>
        <v>-23204.918416088451</v>
      </c>
      <c r="G51" s="282">
        <f>'F - FY 17-18 Alloc and Realloc'!AB51</f>
        <v>13352.51141608844</v>
      </c>
      <c r="H51" s="362">
        <f>'E -  Criminal Justice Alloc'!F52</f>
        <v>205.08164278778813</v>
      </c>
      <c r="I51" s="242">
        <f>'G -  Preliminary 1% Reduction'!K50</f>
        <v>0</v>
      </c>
      <c r="J51" s="234">
        <v>34162.749530796216</v>
      </c>
      <c r="K51" s="242">
        <f>'H -  $22M in new CAC Funding'!C49</f>
        <v>0</v>
      </c>
      <c r="L51" s="242">
        <v>9616</v>
      </c>
      <c r="M51" s="235">
        <f t="shared" si="0"/>
        <v>748104.27623216819</v>
      </c>
      <c r="N51" s="241"/>
      <c r="O51" s="281"/>
    </row>
    <row r="52" spans="2:15" x14ac:dyDescent="0.45">
      <c r="B52" s="233" t="s">
        <v>35</v>
      </c>
      <c r="C52" s="282">
        <f>'A- Summary'!C53-'B - Allocation by GL'!D52-'B - Allocation by GL'!J52-'B - Allocation by GL'!L52</f>
        <v>2805804.0430962639</v>
      </c>
      <c r="D52" s="234">
        <v>85800</v>
      </c>
      <c r="E52" s="282">
        <f>'D - Benefits'!F51</f>
        <v>36257.06035</v>
      </c>
      <c r="F52" s="282">
        <f>'F - FY 17-18 Alloc and Realloc'!Z52</f>
        <v>-134605.1285687343</v>
      </c>
      <c r="G52" s="282">
        <f>'F - FY 17-18 Alloc and Realloc'!AB52</f>
        <v>-517.86712603714989</v>
      </c>
      <c r="H52" s="362">
        <f>'E -  Criminal Justice Alloc'!F53</f>
        <v>9228.6739254504646</v>
      </c>
      <c r="I52" s="242">
        <f>'G -  Preliminary 1% Reduction'!K51</f>
        <v>0</v>
      </c>
      <c r="J52" s="234">
        <v>36145.169908061216</v>
      </c>
      <c r="K52" s="242">
        <f>'H -  $22M in new CAC Funding'!C50</f>
        <v>0</v>
      </c>
      <c r="L52" s="242">
        <v>91038</v>
      </c>
      <c r="M52" s="235">
        <f t="shared" si="0"/>
        <v>2929149.9515850036</v>
      </c>
      <c r="N52" s="241"/>
      <c r="O52" s="281"/>
    </row>
    <row r="53" spans="2:15" x14ac:dyDescent="0.45">
      <c r="B53" s="233" t="s">
        <v>48</v>
      </c>
      <c r="C53" s="282">
        <f>'A- Summary'!C54-'B - Allocation by GL'!D53-'B - Allocation by GL'!J53-'B - Allocation by GL'!L53</f>
        <v>19284800.098769914</v>
      </c>
      <c r="D53" s="234">
        <v>559362</v>
      </c>
      <c r="E53" s="282">
        <f>'D - Benefits'!F52</f>
        <v>274322.82141999982</v>
      </c>
      <c r="F53" s="282">
        <f>'F - FY 17-18 Alloc and Realloc'!Z53</f>
        <v>330966.32147532655</v>
      </c>
      <c r="G53" s="282">
        <f>'F - FY 17-18 Alloc and Realloc'!AB53</f>
        <v>-3696.2427181024091</v>
      </c>
      <c r="H53" s="362">
        <f>'E -  Criminal Justice Alloc'!F54</f>
        <v>122638.82238709729</v>
      </c>
      <c r="I53" s="242">
        <f>'G -  Preliminary 1% Reduction'!K52</f>
        <v>0</v>
      </c>
      <c r="J53" s="234">
        <v>53656.759096863592</v>
      </c>
      <c r="K53" s="242">
        <f>'H -  $22M in new CAC Funding'!C51</f>
        <v>120704</v>
      </c>
      <c r="L53" s="242">
        <v>353779</v>
      </c>
      <c r="M53" s="235">
        <f t="shared" si="0"/>
        <v>21096533.5804311</v>
      </c>
      <c r="N53" s="241"/>
      <c r="O53" s="281"/>
    </row>
    <row r="54" spans="2:15" x14ac:dyDescent="0.45">
      <c r="B54" s="233" t="s">
        <v>49</v>
      </c>
      <c r="C54" s="282">
        <f>'A- Summary'!C55-'B - Allocation by GL'!D54-'B - Allocation by GL'!J54-'B - Allocation by GL'!L54</f>
        <v>21205646.45026207</v>
      </c>
      <c r="D54" s="234">
        <v>643923</v>
      </c>
      <c r="E54" s="282">
        <f>'D - Benefits'!F53</f>
        <v>417021.1860000001</v>
      </c>
      <c r="F54" s="282">
        <f>'F - FY 17-18 Alloc and Realloc'!Z54</f>
        <v>-167018.9058059603</v>
      </c>
      <c r="G54" s="282">
        <f>'F - FY 17-18 Alloc and Realloc'!AB54</f>
        <v>-4170.073003382865</v>
      </c>
      <c r="H54" s="362">
        <f>'E -  Criminal Justice Alloc'!F55</f>
        <v>115050.80160394913</v>
      </c>
      <c r="I54" s="242">
        <f>'G -  Preliminary 1% Reduction'!K53</f>
        <v>0</v>
      </c>
      <c r="J54" s="234">
        <v>56310.259801627646</v>
      </c>
      <c r="K54" s="242">
        <f>'H -  $22M in new CAC Funding'!C52</f>
        <v>139947</v>
      </c>
      <c r="L54" s="242">
        <v>1172050</v>
      </c>
      <c r="M54" s="235">
        <f t="shared" si="0"/>
        <v>23578759.718858305</v>
      </c>
      <c r="N54" s="241"/>
      <c r="O54" s="281"/>
    </row>
    <row r="55" spans="2:15" x14ac:dyDescent="0.45">
      <c r="B55" s="233" t="s">
        <v>50</v>
      </c>
      <c r="C55" s="282">
        <f>'A- Summary'!C56-'B - Allocation by GL'!D55-'B - Allocation by GL'!J55-'B - Allocation by GL'!L55</f>
        <v>19069751.666960258</v>
      </c>
      <c r="D55" s="234">
        <v>540457</v>
      </c>
      <c r="E55" s="282">
        <f>'D - Benefits'!F54</f>
        <v>221250.84499999983</v>
      </c>
      <c r="F55" s="282">
        <f>'F - FY 17-18 Alloc and Realloc'!Z55</f>
        <v>332612.55423202785</v>
      </c>
      <c r="G55" s="282">
        <f>'F - FY 17-18 Alloc and Realloc'!AB55</f>
        <v>-3925.2930009464185</v>
      </c>
      <c r="H55" s="362">
        <f>'E -  Criminal Justice Alloc'!F56</f>
        <v>63575.309264214309</v>
      </c>
      <c r="I55" s="242">
        <f>'G -  Preliminary 1% Reduction'!K54</f>
        <v>0</v>
      </c>
      <c r="J55" s="234">
        <v>57911.304243259343</v>
      </c>
      <c r="K55" s="242">
        <f>'H -  $22M in new CAC Funding'!C53</f>
        <v>147736</v>
      </c>
      <c r="L55" s="242">
        <v>1305230</v>
      </c>
      <c r="M55" s="235">
        <f t="shared" si="0"/>
        <v>21734599.386698809</v>
      </c>
      <c r="N55" s="241"/>
      <c r="O55" s="281"/>
    </row>
    <row r="56" spans="2:15" x14ac:dyDescent="0.45">
      <c r="B56" s="233" t="s">
        <v>36</v>
      </c>
      <c r="C56" s="282">
        <f>'A- Summary'!C57-'B - Allocation by GL'!D56-'B - Allocation by GL'!J56-'B - Allocation by GL'!L56</f>
        <v>4524076.0755491666</v>
      </c>
      <c r="D56" s="234">
        <v>127407</v>
      </c>
      <c r="E56" s="282">
        <f>'D - Benefits'!F55</f>
        <v>118526.94564999998</v>
      </c>
      <c r="F56" s="282">
        <f>'F - FY 17-18 Alloc and Realloc'!Z56</f>
        <v>79669.515776332584</v>
      </c>
      <c r="G56" s="282">
        <f>'F - FY 17-18 Alloc and Realloc'!AB56</f>
        <v>-896.89339112761195</v>
      </c>
      <c r="H56" s="362">
        <f>'E -  Criminal Justice Alloc'!F57</f>
        <v>19140.953326860224</v>
      </c>
      <c r="I56" s="242">
        <f>'G -  Preliminary 1% Reduction'!K55</f>
        <v>-87253</v>
      </c>
      <c r="J56" s="234">
        <v>38251.198112343387</v>
      </c>
      <c r="K56" s="242">
        <f>'H -  $22M in new CAC Funding'!C54</f>
        <v>37897</v>
      </c>
      <c r="L56" s="242">
        <v>159761</v>
      </c>
      <c r="M56" s="235">
        <f t="shared" si="0"/>
        <v>5016579.7950235754</v>
      </c>
      <c r="N56" s="241"/>
      <c r="O56" s="281"/>
    </row>
    <row r="57" spans="2:15" x14ac:dyDescent="0.45">
      <c r="B57" s="233" t="s">
        <v>37</v>
      </c>
      <c r="C57" s="282">
        <f>'A- Summary'!C58-'B - Allocation by GL'!D57-'B - Allocation by GL'!J57-'B - Allocation by GL'!L57</f>
        <v>3466230.6545251925</v>
      </c>
      <c r="D57" s="234">
        <v>98606</v>
      </c>
      <c r="E57" s="282">
        <f>'D - Benefits'!F56</f>
        <v>16973.577599999957</v>
      </c>
      <c r="F57" s="282">
        <f>'F - FY 17-18 Alloc and Realloc'!Z57</f>
        <v>101090.84807809512</v>
      </c>
      <c r="G57" s="282">
        <f>'F - FY 17-18 Alloc and Realloc'!AB57</f>
        <v>-715.06946194637237</v>
      </c>
      <c r="H57" s="362">
        <f>'E -  Criminal Justice Alloc'!F58</f>
        <v>12304.898567267286</v>
      </c>
      <c r="I57" s="242">
        <f>'G -  Preliminary 1% Reduction'!K56</f>
        <v>0</v>
      </c>
      <c r="J57" s="234">
        <v>36860.458977001923</v>
      </c>
      <c r="K57" s="242">
        <f>'H -  $22M in new CAC Funding'!C55</f>
        <v>38030</v>
      </c>
      <c r="L57" s="242">
        <v>108184</v>
      </c>
      <c r="M57" s="235">
        <f t="shared" si="0"/>
        <v>3877565.3682856099</v>
      </c>
      <c r="N57" s="241"/>
      <c r="O57" s="281"/>
    </row>
    <row r="58" spans="2:15" x14ac:dyDescent="0.45">
      <c r="B58" s="233" t="s">
        <v>18</v>
      </c>
      <c r="C58" s="282">
        <f>'A- Summary'!C59-'B - Allocation by GL'!D58-'B - Allocation by GL'!J58-'B - Allocation by GL'!L58</f>
        <v>1703568.037859228</v>
      </c>
      <c r="D58" s="234">
        <v>47850</v>
      </c>
      <c r="E58" s="282">
        <f>'D - Benefits'!F57</f>
        <v>21054.631310000004</v>
      </c>
      <c r="F58" s="282">
        <f>'F - FY 17-18 Alloc and Realloc'!Z58</f>
        <v>34338.308466506758</v>
      </c>
      <c r="G58" s="282">
        <f>'F - FY 17-18 Alloc and Realloc'!AB58</f>
        <v>-256.28182306843968</v>
      </c>
      <c r="H58" s="362">
        <f>'E -  Criminal Justice Alloc'!F59</f>
        <v>2392.6191658575281</v>
      </c>
      <c r="I58" s="242">
        <f>'G -  Preliminary 1% Reduction'!K57</f>
        <v>0</v>
      </c>
      <c r="J58" s="234">
        <v>34651.927854866088</v>
      </c>
      <c r="K58" s="242">
        <f>'H -  $22M in new CAC Funding'!C56</f>
        <v>0</v>
      </c>
      <c r="L58" s="242">
        <v>53679</v>
      </c>
      <c r="M58" s="235">
        <f t="shared" si="0"/>
        <v>1897278.2428333899</v>
      </c>
      <c r="N58" s="241"/>
      <c r="O58" s="281"/>
    </row>
    <row r="59" spans="2:15" x14ac:dyDescent="0.45">
      <c r="B59" s="233" t="s">
        <v>51</v>
      </c>
      <c r="C59" s="282">
        <f>'A- Summary'!C60-'B - Allocation by GL'!D59-'B - Allocation by GL'!J59-'B - Allocation by GL'!L59</f>
        <v>16652543.856846467</v>
      </c>
      <c r="D59" s="234">
        <v>457506</v>
      </c>
      <c r="E59" s="282">
        <f>'D - Benefits'!F58</f>
        <v>264571.9617999997</v>
      </c>
      <c r="F59" s="282">
        <f>'F - FY 17-18 Alloc and Realloc'!Z59</f>
        <v>1178217.3542479882</v>
      </c>
      <c r="G59" s="282">
        <f>'F - FY 17-18 Alloc and Realloc'!AB59</f>
        <v>-3410.832744519178</v>
      </c>
      <c r="H59" s="362">
        <f>'E -  Criminal Justice Alloc'!F60</f>
        <v>88390.188041536676</v>
      </c>
      <c r="I59" s="242">
        <f>'G -  Preliminary 1% Reduction'!K58</f>
        <v>0</v>
      </c>
      <c r="J59" s="234">
        <v>53553.140500992478</v>
      </c>
      <c r="K59" s="242">
        <f>'H -  $22M in new CAC Funding'!C57</f>
        <v>290555</v>
      </c>
      <c r="L59" s="242">
        <v>33744</v>
      </c>
      <c r="M59" s="235">
        <f t="shared" si="0"/>
        <v>19015670.668692466</v>
      </c>
      <c r="N59" s="241"/>
      <c r="O59" s="281"/>
    </row>
    <row r="60" spans="2:15" x14ac:dyDescent="0.45">
      <c r="B60" s="233" t="s">
        <v>38</v>
      </c>
      <c r="C60" s="282">
        <f>'A- Summary'!C61-'B - Allocation by GL'!D60-'B - Allocation by GL'!J60-'B - Allocation by GL'!L60</f>
        <v>2982746.9355426361</v>
      </c>
      <c r="D60" s="234">
        <v>85983</v>
      </c>
      <c r="E60" s="282">
        <f>'D - Benefits'!F59</f>
        <v>51125.60925000003</v>
      </c>
      <c r="F60" s="282">
        <f>'F - FY 17-18 Alloc and Realloc'!Z60</f>
        <v>139767.65721884015</v>
      </c>
      <c r="G60" s="282">
        <f>'F - FY 17-18 Alloc and Realloc'!AB60</f>
        <v>-564.27856031498095</v>
      </c>
      <c r="H60" s="362">
        <f>'E -  Criminal Justice Alloc'!F61</f>
        <v>6972.7758547847961</v>
      </c>
      <c r="I60" s="242">
        <f>'G -  Preliminary 1% Reduction'!K59</f>
        <v>0</v>
      </c>
      <c r="J60" s="234">
        <v>36706.960276433761</v>
      </c>
      <c r="K60" s="242">
        <f>'H -  $22M in new CAC Funding'!C58</f>
        <v>18663</v>
      </c>
      <c r="L60" s="242">
        <v>50352</v>
      </c>
      <c r="M60" s="235">
        <f t="shared" si="0"/>
        <v>3371753.6595823802</v>
      </c>
      <c r="N60" s="241"/>
      <c r="O60" s="281"/>
    </row>
    <row r="61" spans="2:15" x14ac:dyDescent="0.45">
      <c r="B61" s="233" t="s">
        <v>52</v>
      </c>
      <c r="C61" s="282">
        <f>'A- Summary'!C62-'B - Allocation by GL'!D61-'B - Allocation by GL'!J61-'B - Allocation by GL'!L61</f>
        <v>32012687.402729895</v>
      </c>
      <c r="D61" s="234">
        <v>914809</v>
      </c>
      <c r="E61" s="282">
        <f>'D - Benefits'!F60</f>
        <v>79259.619269999734</v>
      </c>
      <c r="F61" s="282">
        <f>'F - FY 17-18 Alloc and Realloc'!Z61</f>
        <v>1265055.7318772301</v>
      </c>
      <c r="G61" s="282">
        <f>'F - FY 17-18 Alloc and Realloc'!AB61</f>
        <v>-6189.2971357714123</v>
      </c>
      <c r="H61" s="362">
        <f>'E -  Criminal Justice Alloc'!F62</f>
        <v>351099.77245269326</v>
      </c>
      <c r="I61" s="242">
        <f>'G -  Preliminary 1% Reduction'!K60</f>
        <v>0</v>
      </c>
      <c r="J61" s="234">
        <v>71995.623535608713</v>
      </c>
      <c r="K61" s="242">
        <f>'H -  $22M in new CAC Funding'!C59</f>
        <v>335533</v>
      </c>
      <c r="L61" s="242">
        <v>968753</v>
      </c>
      <c r="M61" s="235">
        <f t="shared" si="0"/>
        <v>35993003.852729656</v>
      </c>
      <c r="N61" s="241"/>
      <c r="O61" s="281"/>
    </row>
    <row r="62" spans="2:15" x14ac:dyDescent="0.45">
      <c r="B62" s="233" t="s">
        <v>39</v>
      </c>
      <c r="C62" s="282">
        <f>'A- Summary'!C63-'B - Allocation by GL'!D62-'B - Allocation by GL'!J62-'B - Allocation by GL'!L62</f>
        <v>8695006.3802526817</v>
      </c>
      <c r="D62" s="234">
        <v>245500</v>
      </c>
      <c r="E62" s="282">
        <f>'D - Benefits'!F61</f>
        <v>38377.765840000073</v>
      </c>
      <c r="F62" s="282">
        <f>'F - FY 17-18 Alloc and Realloc'!Z62</f>
        <v>587673.58837379003</v>
      </c>
      <c r="G62" s="282">
        <f>'F - FY 17-18 Alloc and Realloc'!AB62</f>
        <v>-1669.1310335225951</v>
      </c>
      <c r="H62" s="362">
        <f>'E -  Criminal Justice Alloc'!F63</f>
        <v>51885.655625310392</v>
      </c>
      <c r="I62" s="242">
        <f>'G -  Preliminary 1% Reduction'!K61</f>
        <v>0</v>
      </c>
      <c r="J62" s="234">
        <v>42848.442356434003</v>
      </c>
      <c r="K62" s="242">
        <f>'H -  $22M in new CAC Funding'!C60</f>
        <v>100262</v>
      </c>
      <c r="L62" s="242">
        <v>210077</v>
      </c>
      <c r="M62" s="235">
        <f t="shared" si="0"/>
        <v>9969961.7014146913</v>
      </c>
      <c r="N62" s="241"/>
      <c r="O62" s="281"/>
    </row>
    <row r="63" spans="2:15" x14ac:dyDescent="0.45">
      <c r="B63" s="233" t="s">
        <v>40</v>
      </c>
      <c r="C63" s="282">
        <f>'A- Summary'!C64-'B - Allocation by GL'!D63-'B - Allocation by GL'!J63-'B - Allocation by GL'!L63</f>
        <v>4196792.7372183036</v>
      </c>
      <c r="D63" s="234">
        <v>105550</v>
      </c>
      <c r="E63" s="282">
        <f>'D - Benefits'!F62</f>
        <v>36274.860490000014</v>
      </c>
      <c r="F63" s="282">
        <f>'F - FY 17-18 Alloc and Realloc'!Z63</f>
        <v>96488.208562665153</v>
      </c>
      <c r="G63" s="282">
        <f>'F - FY 17-18 Alloc and Realloc'!AB63</f>
        <v>-824.27459128281657</v>
      </c>
      <c r="H63" s="362">
        <f>'E -  Criminal Justice Alloc'!F64</f>
        <v>36504.532416226284</v>
      </c>
      <c r="I63" s="242">
        <f>'G -  Preliminary 1% Reduction'!K62</f>
        <v>0</v>
      </c>
      <c r="J63" s="234">
        <v>37246.018705200673</v>
      </c>
      <c r="K63" s="242">
        <f>'H -  $22M in new CAC Funding'!C61</f>
        <v>84330</v>
      </c>
      <c r="L63" s="242">
        <v>90867</v>
      </c>
      <c r="M63" s="235">
        <f t="shared" si="0"/>
        <v>4683229.082801112</v>
      </c>
      <c r="N63" s="241"/>
      <c r="O63" s="281"/>
    </row>
    <row r="64" spans="2:15" x14ac:dyDescent="0.45">
      <c r="B64" s="236" t="s">
        <v>0</v>
      </c>
      <c r="C64" s="235">
        <f t="shared" ref="C64:L64" si="1">SUM(C6:C63)</f>
        <v>1698474763.3048565</v>
      </c>
      <c r="D64" s="235">
        <f t="shared" si="1"/>
        <v>50000000</v>
      </c>
      <c r="E64" s="235">
        <f t="shared" si="1"/>
        <v>4787750.9750585835</v>
      </c>
      <c r="F64" s="235">
        <f t="shared" si="1"/>
        <v>-4.4936314225196838E-8</v>
      </c>
      <c r="G64" s="235">
        <f t="shared" si="1"/>
        <v>-2.2737367544323206E-12</v>
      </c>
      <c r="H64" s="235">
        <f t="shared" si="1"/>
        <v>9223000.0000000019</v>
      </c>
      <c r="I64" s="235">
        <f t="shared" si="1"/>
        <v>-7773281.5700000003</v>
      </c>
      <c r="J64" s="235">
        <f t="shared" si="1"/>
        <v>3700000.0000000009</v>
      </c>
      <c r="K64" s="235">
        <f>SUM(K5:K63)</f>
        <v>22000007.214364465</v>
      </c>
      <c r="L64" s="235">
        <f t="shared" si="1"/>
        <v>68818601</v>
      </c>
      <c r="M64" s="235">
        <f>SUM(C64:L64)</f>
        <v>1849230840.9242797</v>
      </c>
    </row>
    <row r="65" spans="2:5" x14ac:dyDescent="0.45">
      <c r="B65" s="237"/>
      <c r="E65" s="161"/>
    </row>
    <row r="66" spans="2:5" x14ac:dyDescent="0.45">
      <c r="B66" s="237"/>
      <c r="C66" s="240"/>
      <c r="D66" s="240"/>
    </row>
    <row r="67" spans="2:5" x14ac:dyDescent="0.45">
      <c r="B67" s="237"/>
    </row>
    <row r="68" spans="2:5" x14ac:dyDescent="0.45">
      <c r="B68" s="371"/>
      <c r="C68" s="372"/>
      <c r="D68" s="372"/>
    </row>
    <row r="69" spans="2:5" x14ac:dyDescent="0.45">
      <c r="B69" s="371"/>
      <c r="C69" s="372"/>
      <c r="D69" s="372"/>
    </row>
    <row r="70" spans="2:5" x14ac:dyDescent="0.45">
      <c r="B70" s="372"/>
      <c r="C70" s="372"/>
    </row>
  </sheetData>
  <autoFilter ref="A5:O65"/>
  <mergeCells count="3">
    <mergeCell ref="B1:M2"/>
    <mergeCell ref="M3:M4"/>
    <mergeCell ref="C3:I3"/>
  </mergeCells>
  <printOptions horizontalCentered="1"/>
  <pageMargins left="0.2" right="0.45" top="0.5" bottom="0.5" header="0.3" footer="0.3"/>
  <pageSetup scale="70" fitToHeight="2" orientation="landscape" r:id="rId1"/>
  <headerFooter>
    <oddHeader>&amp;R&amp;"Times New Roman,Bold"&amp;12Attachment B</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M70"/>
  <sheetViews>
    <sheetView showGridLines="0" zoomScaleNormal="100" workbookViewId="0">
      <pane xSplit="1" ySplit="4" topLeftCell="B35" activePane="bottomRight" state="frozen"/>
      <selection activeCell="M68" sqref="M68"/>
      <selection pane="topRight" activeCell="M68" sqref="M68"/>
      <selection pane="bottomLeft" activeCell="M68" sqref="M68"/>
      <selection pane="bottomRight" activeCell="M49" sqref="M49"/>
    </sheetView>
  </sheetViews>
  <sheetFormatPr defaultColWidth="9.1328125" defaultRowHeight="15.4" x14ac:dyDescent="0.45"/>
  <cols>
    <col min="1" max="1" width="15.3984375" style="229" bestFit="1" customWidth="1"/>
    <col min="2" max="2" width="17.3984375" style="229" customWidth="1"/>
    <col min="3" max="3" width="14.1328125" style="229" customWidth="1"/>
    <col min="4" max="4" width="14.3984375" style="229" customWidth="1"/>
    <col min="5" max="7" width="15.1328125" style="229" customWidth="1"/>
    <col min="8" max="8" width="15.59765625" style="229" bestFit="1" customWidth="1"/>
    <col min="9" max="9" width="14.59765625" style="229" customWidth="1"/>
    <col min="10" max="10" width="16.3984375" style="229" customWidth="1"/>
    <col min="11" max="11" width="15.59765625" style="229" bestFit="1" customWidth="1"/>
    <col min="12" max="12" width="16.86328125" style="229" bestFit="1" customWidth="1"/>
    <col min="13" max="13" width="12.59765625" style="229" bestFit="1" customWidth="1"/>
    <col min="14" max="16384" width="9.1328125" style="229"/>
  </cols>
  <sheetData>
    <row r="1" spans="1:13" ht="27.75" customHeight="1" x14ac:dyDescent="0.45">
      <c r="A1" s="425" t="s">
        <v>521</v>
      </c>
      <c r="B1" s="425"/>
      <c r="C1" s="425"/>
      <c r="D1" s="425"/>
      <c r="E1" s="425"/>
      <c r="F1" s="425"/>
      <c r="G1" s="425"/>
      <c r="H1" s="425"/>
      <c r="I1" s="425"/>
      <c r="J1" s="425"/>
      <c r="K1" s="425"/>
    </row>
    <row r="2" spans="1:13" ht="12.75" customHeight="1" x14ac:dyDescent="0.45">
      <c r="A2" s="243"/>
      <c r="B2" s="243"/>
      <c r="C2" s="243"/>
      <c r="D2" s="243"/>
      <c r="E2" s="243"/>
      <c r="F2" s="243"/>
      <c r="G2" s="243"/>
      <c r="H2" s="243"/>
      <c r="I2" s="243"/>
      <c r="J2" s="243"/>
      <c r="K2" s="243"/>
    </row>
    <row r="3" spans="1:13" ht="54.75" customHeight="1" x14ac:dyDescent="0.45">
      <c r="B3" s="230" t="s">
        <v>558</v>
      </c>
      <c r="C3" s="230" t="s">
        <v>519</v>
      </c>
      <c r="D3" s="230" t="s">
        <v>386</v>
      </c>
      <c r="E3" s="230" t="s">
        <v>523</v>
      </c>
      <c r="F3" s="230" t="s">
        <v>518</v>
      </c>
      <c r="G3" s="230" t="s">
        <v>391</v>
      </c>
      <c r="H3" s="230" t="s">
        <v>520</v>
      </c>
      <c r="I3" s="230" t="s">
        <v>403</v>
      </c>
      <c r="J3" s="230" t="s">
        <v>392</v>
      </c>
      <c r="K3" s="230" t="s">
        <v>522</v>
      </c>
    </row>
    <row r="4" spans="1:13" ht="30.4" x14ac:dyDescent="0.45">
      <c r="A4" s="231" t="s">
        <v>63</v>
      </c>
      <c r="B4" s="232">
        <v>1</v>
      </c>
      <c r="C4" s="232">
        <v>2</v>
      </c>
      <c r="D4" s="232">
        <v>3</v>
      </c>
      <c r="E4" s="232">
        <v>4</v>
      </c>
      <c r="F4" s="232" t="s">
        <v>537</v>
      </c>
      <c r="G4" s="232">
        <v>5</v>
      </c>
      <c r="H4" s="232" t="s">
        <v>401</v>
      </c>
      <c r="I4" s="232">
        <v>7</v>
      </c>
      <c r="J4" s="232">
        <v>8</v>
      </c>
      <c r="K4" s="232" t="s">
        <v>402</v>
      </c>
    </row>
    <row r="5" spans="1:13" x14ac:dyDescent="0.45">
      <c r="A5" s="233" t="s">
        <v>53</v>
      </c>
      <c r="B5" s="234">
        <v>71747295.164544761</v>
      </c>
      <c r="C5" s="234">
        <v>-436742.98276451789</v>
      </c>
      <c r="D5" s="234">
        <v>-16516.52238594653</v>
      </c>
      <c r="E5" s="234">
        <v>645929.30959900026</v>
      </c>
      <c r="F5" s="282">
        <v>795745.19654094125</v>
      </c>
      <c r="G5" s="282">
        <v>0</v>
      </c>
      <c r="H5" s="235">
        <f t="shared" ref="H5:H36" si="0">SUM(B5:G5)</f>
        <v>72735710.165534243</v>
      </c>
      <c r="I5" s="234">
        <v>3102047</v>
      </c>
      <c r="J5" s="282">
        <v>0</v>
      </c>
      <c r="K5" s="235">
        <f>SUM(H5:J5)</f>
        <v>75837757.165534243</v>
      </c>
      <c r="L5" s="161"/>
      <c r="M5" s="240"/>
    </row>
    <row r="6" spans="1:13" x14ac:dyDescent="0.45">
      <c r="A6" s="233" t="s">
        <v>4</v>
      </c>
      <c r="B6" s="234">
        <v>725356.03115229018</v>
      </c>
      <c r="C6" s="234">
        <v>-19759.021113789757</v>
      </c>
      <c r="D6" s="234">
        <v>35930.594413892482</v>
      </c>
      <c r="E6" s="234">
        <v>-17093.490881000002</v>
      </c>
      <c r="F6" s="282">
        <v>3088.4963027690574</v>
      </c>
      <c r="G6" s="282">
        <v>0</v>
      </c>
      <c r="H6" s="235">
        <f t="shared" si="0"/>
        <v>727522.60987416201</v>
      </c>
      <c r="I6" s="234">
        <v>20340</v>
      </c>
      <c r="J6" s="282">
        <v>0</v>
      </c>
      <c r="K6" s="235">
        <f t="shared" ref="K6:K62" si="1">SUM(H6:J6)</f>
        <v>747862.60987416201</v>
      </c>
      <c r="L6" s="161"/>
      <c r="M6" s="240"/>
    </row>
    <row r="7" spans="1:13" x14ac:dyDescent="0.45">
      <c r="A7" s="233" t="s">
        <v>5</v>
      </c>
      <c r="B7" s="234">
        <v>2119319.3048741608</v>
      </c>
      <c r="C7" s="234">
        <v>59048.137327196717</v>
      </c>
      <c r="D7" s="234">
        <v>-532.09458179983164</v>
      </c>
      <c r="E7" s="234">
        <v>41318.844359999988</v>
      </c>
      <c r="F7" s="282">
        <v>11783.260124634671</v>
      </c>
      <c r="G7" s="282">
        <v>0</v>
      </c>
      <c r="H7" s="235">
        <f t="shared" si="0"/>
        <v>2230937.4521041918</v>
      </c>
      <c r="I7" s="234">
        <v>51756</v>
      </c>
      <c r="J7" s="282">
        <v>0</v>
      </c>
      <c r="K7" s="235">
        <f t="shared" si="1"/>
        <v>2282693.4521041918</v>
      </c>
      <c r="L7" s="161"/>
      <c r="M7" s="240"/>
    </row>
    <row r="8" spans="1:13" x14ac:dyDescent="0.45">
      <c r="A8" s="233" t="s">
        <v>19</v>
      </c>
      <c r="B8" s="234">
        <v>9327362.7750028558</v>
      </c>
      <c r="C8" s="234">
        <v>375298.94561554398</v>
      </c>
      <c r="D8" s="234">
        <v>-2179.726481020647</v>
      </c>
      <c r="E8" s="234">
        <v>211905.60576000001</v>
      </c>
      <c r="F8" s="282">
        <v>78376.591051167197</v>
      </c>
      <c r="G8" s="282">
        <v>0</v>
      </c>
      <c r="H8" s="235">
        <f t="shared" si="0"/>
        <v>9990764.1909485478</v>
      </c>
      <c r="I8" s="234">
        <v>124077</v>
      </c>
      <c r="J8" s="282">
        <v>0</v>
      </c>
      <c r="K8" s="235">
        <f t="shared" si="1"/>
        <v>10114841.190948548</v>
      </c>
      <c r="L8" s="161"/>
      <c r="M8" s="240"/>
    </row>
    <row r="9" spans="1:13" x14ac:dyDescent="0.45">
      <c r="A9" s="233" t="s">
        <v>6</v>
      </c>
      <c r="B9" s="234">
        <v>1998767.9305339486</v>
      </c>
      <c r="C9" s="234">
        <v>22043.476586822886</v>
      </c>
      <c r="D9" s="234">
        <v>-507.36231534647993</v>
      </c>
      <c r="E9" s="234">
        <v>74133.32478000001</v>
      </c>
      <c r="F9" s="282">
        <v>22634.353021895746</v>
      </c>
      <c r="G9" s="282">
        <v>0</v>
      </c>
      <c r="H9" s="235">
        <f t="shared" si="0"/>
        <v>2117071.7226073206</v>
      </c>
      <c r="I9" s="234">
        <v>50506</v>
      </c>
      <c r="J9" s="282">
        <v>0</v>
      </c>
      <c r="K9" s="235">
        <f t="shared" si="1"/>
        <v>2167577.7226073206</v>
      </c>
      <c r="L9" s="161"/>
      <c r="M9" s="240"/>
    </row>
    <row r="10" spans="1:13" x14ac:dyDescent="0.45">
      <c r="A10" s="233" t="s">
        <v>7</v>
      </c>
      <c r="B10" s="234">
        <v>1659845.4076620038</v>
      </c>
      <c r="C10" s="234">
        <v>-17235.916973671672</v>
      </c>
      <c r="D10" s="234">
        <v>160044.42837740411</v>
      </c>
      <c r="E10" s="234">
        <v>24212.925000000003</v>
      </c>
      <c r="F10" s="282">
        <v>7914.3390132103332</v>
      </c>
      <c r="G10" s="282">
        <v>0</v>
      </c>
      <c r="H10" s="235">
        <f t="shared" si="0"/>
        <v>1834781.1830789465</v>
      </c>
      <c r="I10" s="234">
        <v>24773</v>
      </c>
      <c r="J10" s="282">
        <v>0</v>
      </c>
      <c r="K10" s="235">
        <f t="shared" si="1"/>
        <v>1859554.1830789465</v>
      </c>
      <c r="L10" s="161"/>
      <c r="M10" s="240"/>
    </row>
    <row r="11" spans="1:13" x14ac:dyDescent="0.45">
      <c r="A11" s="233" t="s">
        <v>41</v>
      </c>
      <c r="B11" s="234">
        <v>38588448.034682214</v>
      </c>
      <c r="C11" s="234">
        <v>-807632.70521953143</v>
      </c>
      <c r="D11" s="234">
        <v>-8738.4957629702749</v>
      </c>
      <c r="E11" s="234">
        <v>-783109.14010000008</v>
      </c>
      <c r="F11" s="282">
        <v>504413.11436859955</v>
      </c>
      <c r="G11" s="282">
        <v>0</v>
      </c>
      <c r="H11" s="235">
        <f t="shared" si="0"/>
        <v>37493380.807968318</v>
      </c>
      <c r="I11" s="234">
        <v>1396192</v>
      </c>
      <c r="J11" s="282">
        <v>0</v>
      </c>
      <c r="K11" s="235">
        <f t="shared" si="1"/>
        <v>38889572.807968318</v>
      </c>
      <c r="L11" s="161"/>
      <c r="M11" s="240"/>
    </row>
    <row r="12" spans="1:13" x14ac:dyDescent="0.45">
      <c r="A12" s="233" t="s">
        <v>8</v>
      </c>
      <c r="B12" s="234">
        <v>2375599.8826880115</v>
      </c>
      <c r="C12" s="234">
        <v>82385.94654569577</v>
      </c>
      <c r="D12" s="234">
        <v>-586.90156768115742</v>
      </c>
      <c r="E12" s="234">
        <v>59257.97750000003</v>
      </c>
      <c r="F12" s="282">
        <v>22599.40599423027</v>
      </c>
      <c r="G12" s="282">
        <v>0</v>
      </c>
      <c r="H12" s="235">
        <f t="shared" si="0"/>
        <v>2539256.3111602566</v>
      </c>
      <c r="I12" s="234">
        <v>94130</v>
      </c>
      <c r="J12" s="282">
        <v>0</v>
      </c>
      <c r="K12" s="235">
        <f t="shared" si="1"/>
        <v>2633386.3111602566</v>
      </c>
      <c r="L12" s="161"/>
      <c r="M12" s="240"/>
    </row>
    <row r="13" spans="1:13" x14ac:dyDescent="0.45">
      <c r="A13" s="233" t="s">
        <v>20</v>
      </c>
      <c r="B13" s="234">
        <v>6357534.4506568946</v>
      </c>
      <c r="C13" s="234">
        <v>-34773.919091926655</v>
      </c>
      <c r="D13" s="234">
        <v>-1519.8284617548413</v>
      </c>
      <c r="E13" s="234">
        <v>98370.719519999984</v>
      </c>
      <c r="F13" s="282">
        <v>9370.9982527934681</v>
      </c>
      <c r="G13" s="282">
        <v>0</v>
      </c>
      <c r="H13" s="235">
        <f t="shared" si="0"/>
        <v>6428982.4208760057</v>
      </c>
      <c r="I13" s="234">
        <v>213120</v>
      </c>
      <c r="J13" s="282">
        <v>0</v>
      </c>
      <c r="K13" s="235">
        <f t="shared" si="1"/>
        <v>6642102.4208760057</v>
      </c>
      <c r="L13" s="161"/>
      <c r="M13" s="240"/>
    </row>
    <row r="14" spans="1:13" x14ac:dyDescent="0.45">
      <c r="A14" s="233" t="s">
        <v>42</v>
      </c>
      <c r="B14" s="234">
        <v>41291508.926729463</v>
      </c>
      <c r="C14" s="234">
        <v>2960294.8568789288</v>
      </c>
      <c r="D14" s="234">
        <v>-11029.780685796548</v>
      </c>
      <c r="E14" s="234">
        <v>252326.24379835924</v>
      </c>
      <c r="F14" s="282">
        <v>456560.52901622013</v>
      </c>
      <c r="G14" s="282">
        <v>0</v>
      </c>
      <c r="H14" s="235">
        <f t="shared" si="0"/>
        <v>44949660.775737174</v>
      </c>
      <c r="I14" s="234">
        <v>3340364</v>
      </c>
      <c r="J14" s="282">
        <v>0</v>
      </c>
      <c r="K14" s="235">
        <f t="shared" si="1"/>
        <v>48290024.775737174</v>
      </c>
      <c r="L14" s="161"/>
      <c r="M14" s="240"/>
    </row>
    <row r="15" spans="1:13" x14ac:dyDescent="0.45">
      <c r="A15" s="233" t="s">
        <v>9</v>
      </c>
      <c r="B15" s="234">
        <v>1800097.1886678827</v>
      </c>
      <c r="C15" s="234">
        <v>-94502.326597337727</v>
      </c>
      <c r="D15" s="234">
        <v>63519.150961623527</v>
      </c>
      <c r="E15" s="234">
        <v>27501.118949999996</v>
      </c>
      <c r="F15" s="282">
        <v>11898.75273159813</v>
      </c>
      <c r="G15" s="282">
        <v>0</v>
      </c>
      <c r="H15" s="235">
        <f t="shared" si="0"/>
        <v>1808513.8847137669</v>
      </c>
      <c r="I15" s="234">
        <v>54665</v>
      </c>
      <c r="J15" s="282">
        <v>0</v>
      </c>
      <c r="K15" s="235">
        <f t="shared" si="1"/>
        <v>1863178.8847137669</v>
      </c>
      <c r="L15" s="161"/>
      <c r="M15" s="240"/>
    </row>
    <row r="16" spans="1:13" x14ac:dyDescent="0.45">
      <c r="A16" s="233" t="s">
        <v>21</v>
      </c>
      <c r="B16" s="234">
        <v>5878694.7060147338</v>
      </c>
      <c r="C16" s="234">
        <v>173992.04560032394</v>
      </c>
      <c r="D16" s="234">
        <v>-1388.2741314257028</v>
      </c>
      <c r="E16" s="234">
        <v>56492.728414199933</v>
      </c>
      <c r="F16" s="282">
        <v>67869.008856604894</v>
      </c>
      <c r="G16" s="282">
        <v>0</v>
      </c>
      <c r="H16" s="235">
        <f t="shared" si="0"/>
        <v>6175660.2147544371</v>
      </c>
      <c r="I16" s="234">
        <v>73084</v>
      </c>
      <c r="J16" s="282">
        <v>0</v>
      </c>
      <c r="K16" s="235">
        <f t="shared" si="1"/>
        <v>6248744.2147544371</v>
      </c>
      <c r="L16" s="161"/>
      <c r="M16" s="240"/>
    </row>
    <row r="17" spans="1:13" x14ac:dyDescent="0.45">
      <c r="A17" s="233" t="s">
        <v>22</v>
      </c>
      <c r="B17" s="234">
        <v>8099425.0339573901</v>
      </c>
      <c r="C17" s="234">
        <v>174719.61654909397</v>
      </c>
      <c r="D17" s="234">
        <v>-1872.2815004051429</v>
      </c>
      <c r="E17" s="234">
        <v>120442.49129999999</v>
      </c>
      <c r="F17" s="282">
        <v>101173.77436216506</v>
      </c>
      <c r="G17" s="282">
        <v>0</v>
      </c>
      <c r="H17" s="235">
        <f t="shared" si="0"/>
        <v>8493888.6346682459</v>
      </c>
      <c r="I17" s="234">
        <v>125539</v>
      </c>
      <c r="J17" s="282">
        <v>0</v>
      </c>
      <c r="K17" s="235">
        <f t="shared" si="1"/>
        <v>8619427.6346682459</v>
      </c>
      <c r="L17" s="161"/>
      <c r="M17" s="240"/>
    </row>
    <row r="18" spans="1:13" x14ac:dyDescent="0.45">
      <c r="A18" s="233" t="s">
        <v>10</v>
      </c>
      <c r="B18" s="234">
        <v>1944820.939997043</v>
      </c>
      <c r="C18" s="234">
        <v>-36938.671072217563</v>
      </c>
      <c r="D18" s="234">
        <v>-435.77122902944285</v>
      </c>
      <c r="E18" s="234">
        <v>38620.598366400001</v>
      </c>
      <c r="F18" s="282">
        <v>16190.954443339884</v>
      </c>
      <c r="G18" s="282">
        <v>0</v>
      </c>
      <c r="H18" s="235">
        <f t="shared" si="0"/>
        <v>1962258.0505055359</v>
      </c>
      <c r="I18" s="234">
        <v>75586</v>
      </c>
      <c r="J18" s="282">
        <v>0</v>
      </c>
      <c r="K18" s="235">
        <f t="shared" si="1"/>
        <v>2037844.0505055359</v>
      </c>
      <c r="L18" s="161"/>
      <c r="M18" s="240"/>
    </row>
    <row r="19" spans="1:13" x14ac:dyDescent="0.45">
      <c r="A19" s="233" t="s">
        <v>43</v>
      </c>
      <c r="B19" s="234">
        <v>38252630.726373501</v>
      </c>
      <c r="C19" s="234">
        <v>3029897.6874150811</v>
      </c>
      <c r="D19" s="234">
        <v>-10403.610424380649</v>
      </c>
      <c r="E19" s="234">
        <v>988356.51880000043</v>
      </c>
      <c r="F19" s="282">
        <v>272793.43364074931</v>
      </c>
      <c r="G19" s="282">
        <v>0</v>
      </c>
      <c r="H19" s="235">
        <f t="shared" si="0"/>
        <v>42533274.755804949</v>
      </c>
      <c r="I19" s="234">
        <v>3544269</v>
      </c>
      <c r="J19" s="282">
        <v>0</v>
      </c>
      <c r="K19" s="235">
        <f t="shared" si="1"/>
        <v>46077543.755804949</v>
      </c>
      <c r="L19" s="161"/>
      <c r="M19" s="240"/>
    </row>
    <row r="20" spans="1:13" x14ac:dyDescent="0.45">
      <c r="A20" s="233" t="s">
        <v>23</v>
      </c>
      <c r="B20" s="234">
        <v>6320421.1141229896</v>
      </c>
      <c r="C20" s="234">
        <v>349994.93268472969</v>
      </c>
      <c r="D20" s="234">
        <v>-1427.1218405434383</v>
      </c>
      <c r="E20" s="234">
        <v>48871.592549999979</v>
      </c>
      <c r="F20" s="282">
        <v>10948.742622558604</v>
      </c>
      <c r="G20" s="282">
        <v>0</v>
      </c>
      <c r="H20" s="235">
        <f t="shared" si="0"/>
        <v>6728809.2601397354</v>
      </c>
      <c r="I20" s="234">
        <v>45118</v>
      </c>
      <c r="J20" s="282">
        <v>0</v>
      </c>
      <c r="K20" s="235">
        <f t="shared" si="1"/>
        <v>6773927.2601397354</v>
      </c>
      <c r="L20" s="161"/>
      <c r="M20" s="240"/>
    </row>
    <row r="21" spans="1:13" x14ac:dyDescent="0.45">
      <c r="A21" s="233" t="s">
        <v>24</v>
      </c>
      <c r="B21" s="234">
        <v>3183913.1758262352</v>
      </c>
      <c r="C21" s="234">
        <v>95340.280911776877</v>
      </c>
      <c r="D21" s="234">
        <v>-720.80512734144838</v>
      </c>
      <c r="E21" s="234">
        <v>35981.325639999974</v>
      </c>
      <c r="F21" s="282">
        <v>1581.7754260232009</v>
      </c>
      <c r="G21" s="282">
        <v>0</v>
      </c>
      <c r="H21" s="235">
        <f t="shared" si="0"/>
        <v>3316095.7526766937</v>
      </c>
      <c r="I21" s="234">
        <v>9123</v>
      </c>
      <c r="J21" s="282">
        <v>0</v>
      </c>
      <c r="K21" s="235">
        <f t="shared" si="1"/>
        <v>3325218.7526766937</v>
      </c>
      <c r="L21" s="161"/>
      <c r="M21" s="240"/>
    </row>
    <row r="22" spans="1:13" x14ac:dyDescent="0.45">
      <c r="A22" s="233" t="s">
        <v>11</v>
      </c>
      <c r="B22" s="234">
        <v>2250198.3840464861</v>
      </c>
      <c r="C22" s="234">
        <v>-24850.718080838706</v>
      </c>
      <c r="D22" s="234">
        <v>-458.27839945909193</v>
      </c>
      <c r="E22" s="234">
        <v>16782.712079999983</v>
      </c>
      <c r="F22" s="282">
        <v>2759.2391613207692</v>
      </c>
      <c r="G22" s="282">
        <v>0</v>
      </c>
      <c r="H22" s="235">
        <f t="shared" si="0"/>
        <v>2244431.3388075093</v>
      </c>
      <c r="I22" s="234">
        <v>7839</v>
      </c>
      <c r="J22" s="282">
        <v>0</v>
      </c>
      <c r="K22" s="235">
        <f t="shared" si="1"/>
        <v>2252270.3388075093</v>
      </c>
      <c r="L22" s="161"/>
      <c r="M22" s="240"/>
    </row>
    <row r="23" spans="1:13" x14ac:dyDescent="0.45">
      <c r="A23" s="233" t="s">
        <v>54</v>
      </c>
      <c r="B23" s="234">
        <v>501189322.27823418</v>
      </c>
      <c r="C23" s="234">
        <v>6939407.055238232</v>
      </c>
      <c r="D23" s="234">
        <v>-115499.58111978542</v>
      </c>
      <c r="E23" s="234">
        <v>-1336024.7786999987</v>
      </c>
      <c r="F23" s="282">
        <v>5984545.9594028192</v>
      </c>
      <c r="G23" s="282">
        <v>0</v>
      </c>
      <c r="H23" s="235">
        <f t="shared" si="0"/>
        <v>512661750.93305546</v>
      </c>
      <c r="I23" s="234">
        <v>18887969</v>
      </c>
      <c r="J23" s="282">
        <v>-205612</v>
      </c>
      <c r="K23" s="235">
        <f t="shared" si="1"/>
        <v>531344107.93305546</v>
      </c>
      <c r="L23" s="161"/>
      <c r="M23" s="240"/>
    </row>
    <row r="24" spans="1:13" x14ac:dyDescent="0.45">
      <c r="A24" s="233" t="s">
        <v>25</v>
      </c>
      <c r="B24" s="234">
        <v>6840956.6769072022</v>
      </c>
      <c r="C24" s="234">
        <v>219947.34511096613</v>
      </c>
      <c r="D24" s="234">
        <v>-1711.3915188551591</v>
      </c>
      <c r="E24" s="234">
        <v>241857.36945999999</v>
      </c>
      <c r="F24" s="282">
        <v>22490.068703941368</v>
      </c>
      <c r="G24" s="282">
        <v>0</v>
      </c>
      <c r="H24" s="235">
        <f t="shared" si="0"/>
        <v>7323540.0686632534</v>
      </c>
      <c r="I24" s="234">
        <v>384826</v>
      </c>
      <c r="J24" s="282">
        <v>0</v>
      </c>
      <c r="K24" s="235">
        <f t="shared" si="1"/>
        <v>7708366.0686632534</v>
      </c>
      <c r="L24" s="161"/>
      <c r="M24" s="240"/>
    </row>
    <row r="25" spans="1:13" x14ac:dyDescent="0.45">
      <c r="A25" s="233" t="s">
        <v>26</v>
      </c>
      <c r="B25" s="234">
        <v>11514996.964299785</v>
      </c>
      <c r="C25" s="234">
        <v>-519030.18826143554</v>
      </c>
      <c r="D25" s="234">
        <v>-2805.7707913441336</v>
      </c>
      <c r="E25" s="234">
        <v>221931.93750000003</v>
      </c>
      <c r="F25" s="282">
        <v>177317.10562480011</v>
      </c>
      <c r="G25" s="282">
        <v>0</v>
      </c>
      <c r="H25" s="235">
        <f t="shared" si="0"/>
        <v>11392410.048371805</v>
      </c>
      <c r="I25" s="234">
        <v>644512</v>
      </c>
      <c r="J25" s="282">
        <v>0</v>
      </c>
      <c r="K25" s="235">
        <f t="shared" si="1"/>
        <v>12036922.048371805</v>
      </c>
      <c r="L25" s="161"/>
      <c r="M25" s="240"/>
    </row>
    <row r="26" spans="1:13" x14ac:dyDescent="0.45">
      <c r="A26" s="233" t="s">
        <v>12</v>
      </c>
      <c r="B26" s="234">
        <v>1124762.9899559491</v>
      </c>
      <c r="C26" s="234">
        <v>-25442.301686202278</v>
      </c>
      <c r="D26" s="234">
        <v>-261.92763179362197</v>
      </c>
      <c r="E26" s="234">
        <v>2134.01156360001</v>
      </c>
      <c r="F26" s="282">
        <v>1760.5897953907224</v>
      </c>
      <c r="G26" s="282">
        <v>0</v>
      </c>
      <c r="H26" s="235">
        <f t="shared" si="0"/>
        <v>1102953.3619969441</v>
      </c>
      <c r="I26" s="234">
        <v>22301</v>
      </c>
      <c r="J26" s="282">
        <v>0</v>
      </c>
      <c r="K26" s="235">
        <f t="shared" si="1"/>
        <v>1125254.3619969441</v>
      </c>
      <c r="L26" s="161"/>
      <c r="M26" s="240"/>
    </row>
    <row r="27" spans="1:13" x14ac:dyDescent="0.45">
      <c r="A27" s="233" t="s">
        <v>27</v>
      </c>
      <c r="B27" s="234">
        <v>4741648.6374341473</v>
      </c>
      <c r="C27" s="234">
        <v>137568.44117931672</v>
      </c>
      <c r="D27" s="234">
        <v>-1208.0347859709816</v>
      </c>
      <c r="E27" s="234">
        <v>188391.9596</v>
      </c>
      <c r="F27" s="282">
        <v>116312.99052178065</v>
      </c>
      <c r="G27" s="282">
        <v>0</v>
      </c>
      <c r="H27" s="235">
        <f t="shared" si="0"/>
        <v>5182713.9939492727</v>
      </c>
      <c r="I27" s="234">
        <v>311771</v>
      </c>
      <c r="J27" s="282">
        <v>0</v>
      </c>
      <c r="K27" s="235">
        <f t="shared" si="1"/>
        <v>5494484.9939492727</v>
      </c>
      <c r="L27" s="161"/>
      <c r="M27" s="240"/>
    </row>
    <row r="28" spans="1:13" x14ac:dyDescent="0.45">
      <c r="A28" s="233" t="s">
        <v>28</v>
      </c>
      <c r="B28" s="234">
        <v>10663268.518951153</v>
      </c>
      <c r="C28" s="234">
        <v>227209.28006967017</v>
      </c>
      <c r="D28" s="234">
        <v>-2697.3218824161031</v>
      </c>
      <c r="E28" s="234">
        <v>154518.913</v>
      </c>
      <c r="F28" s="282">
        <v>153398.41588959948</v>
      </c>
      <c r="G28" s="282">
        <v>0</v>
      </c>
      <c r="H28" s="235">
        <f t="shared" si="0"/>
        <v>11195697.806028008</v>
      </c>
      <c r="I28" s="234">
        <v>774827</v>
      </c>
      <c r="J28" s="282">
        <v>0</v>
      </c>
      <c r="K28" s="235">
        <f t="shared" si="1"/>
        <v>11970524.806028008</v>
      </c>
      <c r="L28" s="161"/>
      <c r="M28" s="240"/>
    </row>
    <row r="29" spans="1:13" x14ac:dyDescent="0.45">
      <c r="A29" s="233" t="s">
        <v>13</v>
      </c>
      <c r="B29" s="234">
        <v>893648.49471209839</v>
      </c>
      <c r="C29" s="234">
        <v>-55865.533980905144</v>
      </c>
      <c r="D29" s="234">
        <v>-205.79194589078028</v>
      </c>
      <c r="E29" s="234">
        <v>10776.778427999987</v>
      </c>
      <c r="F29" s="282">
        <v>1752.5100035578721</v>
      </c>
      <c r="G29" s="282">
        <v>0</v>
      </c>
      <c r="H29" s="235">
        <f t="shared" si="0"/>
        <v>850106.45721686026</v>
      </c>
      <c r="I29" s="234">
        <v>31967</v>
      </c>
      <c r="J29" s="282">
        <v>0</v>
      </c>
      <c r="K29" s="235">
        <f t="shared" si="1"/>
        <v>882073.45721686026</v>
      </c>
      <c r="L29" s="161"/>
      <c r="M29" s="240"/>
    </row>
    <row r="30" spans="1:13" x14ac:dyDescent="0.45">
      <c r="A30" s="233" t="s">
        <v>14</v>
      </c>
      <c r="B30" s="234">
        <v>1467083.21347448</v>
      </c>
      <c r="C30" s="234">
        <v>33841.326355321216</v>
      </c>
      <c r="D30" s="234">
        <v>107759.93181203655</v>
      </c>
      <c r="E30" s="234">
        <v>11290.741359999996</v>
      </c>
      <c r="F30" s="282">
        <v>5599.2837554241487</v>
      </c>
      <c r="G30" s="282">
        <v>0</v>
      </c>
      <c r="H30" s="235">
        <f t="shared" si="0"/>
        <v>1625574.4967572622</v>
      </c>
      <c r="I30" s="234">
        <v>85641</v>
      </c>
      <c r="J30" s="282">
        <v>0</v>
      </c>
      <c r="K30" s="235">
        <f t="shared" si="1"/>
        <v>1711215.4967572622</v>
      </c>
      <c r="L30" s="161"/>
      <c r="M30" s="240"/>
    </row>
    <row r="31" spans="1:13" x14ac:dyDescent="0.45">
      <c r="A31" s="233" t="s">
        <v>44</v>
      </c>
      <c r="B31" s="234">
        <v>16112006.874927919</v>
      </c>
      <c r="C31" s="234">
        <v>564038.84819884785</v>
      </c>
      <c r="D31" s="234">
        <v>-3807.687943167572</v>
      </c>
      <c r="E31" s="234">
        <v>361191.66756439989</v>
      </c>
      <c r="F31" s="282">
        <v>130795.15821071496</v>
      </c>
      <c r="G31" s="282">
        <v>0</v>
      </c>
      <c r="H31" s="235">
        <f t="shared" si="0"/>
        <v>17164224.860958714</v>
      </c>
      <c r="I31" s="234">
        <v>277496</v>
      </c>
      <c r="J31" s="282">
        <v>0</v>
      </c>
      <c r="K31" s="235">
        <f t="shared" si="1"/>
        <v>17441720.860958714</v>
      </c>
      <c r="L31" s="161"/>
      <c r="M31" s="240"/>
    </row>
    <row r="32" spans="1:13" x14ac:dyDescent="0.45">
      <c r="A32" s="233" t="s">
        <v>29</v>
      </c>
      <c r="B32" s="234">
        <v>6805484.7462026346</v>
      </c>
      <c r="C32" s="234">
        <v>164861.27313423436</v>
      </c>
      <c r="D32" s="234">
        <v>-1586.8020124873483</v>
      </c>
      <c r="E32" s="234">
        <v>106421.01385999996</v>
      </c>
      <c r="F32" s="282">
        <v>89879.88229412747</v>
      </c>
      <c r="G32" s="282">
        <v>0</v>
      </c>
      <c r="H32" s="235">
        <f t="shared" si="0"/>
        <v>7165060.1134785097</v>
      </c>
      <c r="I32" s="234">
        <v>309796</v>
      </c>
      <c r="J32" s="282">
        <v>0</v>
      </c>
      <c r="K32" s="235">
        <f t="shared" si="1"/>
        <v>7474856.1134785097</v>
      </c>
      <c r="L32" s="161"/>
      <c r="M32" s="240"/>
    </row>
    <row r="33" spans="1:13" x14ac:dyDescent="0.45">
      <c r="A33" s="233" t="s">
        <v>30</v>
      </c>
      <c r="B33" s="234">
        <v>4763052.8417267632</v>
      </c>
      <c r="C33" s="234">
        <v>-87423.705516972521</v>
      </c>
      <c r="D33" s="234">
        <v>-979.59524611154325</v>
      </c>
      <c r="E33" s="234">
        <v>99539.899039999975</v>
      </c>
      <c r="F33" s="282">
        <v>59490.200567586115</v>
      </c>
      <c r="G33" s="282">
        <v>0</v>
      </c>
      <c r="H33" s="235">
        <f t="shared" si="0"/>
        <v>4833679.6405712646</v>
      </c>
      <c r="I33" s="234">
        <v>95495</v>
      </c>
      <c r="J33" s="282">
        <v>0</v>
      </c>
      <c r="K33" s="235">
        <f t="shared" si="1"/>
        <v>4929174.6405712646</v>
      </c>
      <c r="L33" s="161"/>
      <c r="M33" s="240"/>
    </row>
    <row r="34" spans="1:13" x14ac:dyDescent="0.45">
      <c r="A34" s="233" t="s">
        <v>55</v>
      </c>
      <c r="B34" s="234">
        <v>132650863.94523592</v>
      </c>
      <c r="C34" s="234">
        <v>-1851991.4199596122</v>
      </c>
      <c r="D34" s="234">
        <v>-31298.835722754957</v>
      </c>
      <c r="E34" s="234">
        <v>66411.403242708373</v>
      </c>
      <c r="F34" s="282">
        <v>2860992.8265624214</v>
      </c>
      <c r="G34" s="282">
        <v>0</v>
      </c>
      <c r="H34" s="235">
        <f t="shared" si="0"/>
        <v>133694977.91935867</v>
      </c>
      <c r="I34" s="234">
        <v>6929921</v>
      </c>
      <c r="J34" s="282">
        <v>0</v>
      </c>
      <c r="K34" s="235">
        <f t="shared" si="1"/>
        <v>140624898.91935867</v>
      </c>
      <c r="L34" s="161"/>
      <c r="M34" s="240"/>
    </row>
    <row r="35" spans="1:13" x14ac:dyDescent="0.45">
      <c r="A35" s="233" t="s">
        <v>31</v>
      </c>
      <c r="B35" s="234">
        <v>13979680.589818319</v>
      </c>
      <c r="C35" s="234">
        <v>547583.36479994049</v>
      </c>
      <c r="D35" s="234">
        <v>-3419.318553211438</v>
      </c>
      <c r="E35" s="234">
        <v>253075.33308180014</v>
      </c>
      <c r="F35" s="282">
        <v>140674.7050452212</v>
      </c>
      <c r="G35" s="282">
        <v>0</v>
      </c>
      <c r="H35" s="235">
        <f t="shared" si="0"/>
        <v>14917594.674192071</v>
      </c>
      <c r="I35" s="234">
        <v>634797</v>
      </c>
      <c r="J35" s="282">
        <v>0</v>
      </c>
      <c r="K35" s="235">
        <f t="shared" si="1"/>
        <v>15552391.674192071</v>
      </c>
      <c r="L35" s="161"/>
      <c r="M35" s="240"/>
    </row>
    <row r="36" spans="1:13" x14ac:dyDescent="0.45">
      <c r="A36" s="233" t="s">
        <v>15</v>
      </c>
      <c r="B36" s="234">
        <v>1244991.3389698525</v>
      </c>
      <c r="C36" s="234">
        <v>-41599.967186388938</v>
      </c>
      <c r="D36" s="234">
        <v>4938.1830807472579</v>
      </c>
      <c r="E36" s="234">
        <v>12765.861060000005</v>
      </c>
      <c r="F36" s="282">
        <v>2974.4072285960738</v>
      </c>
      <c r="G36" s="282">
        <v>0</v>
      </c>
      <c r="H36" s="235">
        <f t="shared" si="0"/>
        <v>1224069.8231528068</v>
      </c>
      <c r="I36" s="234">
        <v>14929</v>
      </c>
      <c r="J36" s="282">
        <v>0</v>
      </c>
      <c r="K36" s="235">
        <f t="shared" si="1"/>
        <v>1238998.8231528068</v>
      </c>
      <c r="L36" s="161"/>
      <c r="M36" s="240"/>
    </row>
    <row r="37" spans="1:13" x14ac:dyDescent="0.45">
      <c r="A37" s="233" t="s">
        <v>56</v>
      </c>
      <c r="B37" s="234">
        <v>78274046.976034224</v>
      </c>
      <c r="C37" s="234">
        <v>2225921.1088009216</v>
      </c>
      <c r="D37" s="234">
        <v>-18536.5056346194</v>
      </c>
      <c r="E37" s="234">
        <v>1454358.6172490001</v>
      </c>
      <c r="F37" s="282">
        <v>812595.30538826238</v>
      </c>
      <c r="G37" s="282">
        <v>0</v>
      </c>
      <c r="H37" s="235">
        <f t="shared" ref="H37:H62" si="2">SUM(B37:G37)</f>
        <v>82748385.501837775</v>
      </c>
      <c r="I37" s="234">
        <v>923657</v>
      </c>
      <c r="J37" s="282">
        <v>0</v>
      </c>
      <c r="K37" s="235">
        <f t="shared" si="1"/>
        <v>83672042.501837775</v>
      </c>
      <c r="L37" s="161"/>
      <c r="M37" s="240"/>
    </row>
    <row r="38" spans="1:13" x14ac:dyDescent="0.45">
      <c r="A38" s="233" t="s">
        <v>57</v>
      </c>
      <c r="B38" s="234">
        <v>71279884.873357058</v>
      </c>
      <c r="C38" s="234">
        <v>-69046.535539777949</v>
      </c>
      <c r="D38" s="234">
        <v>-16579.107627155779</v>
      </c>
      <c r="E38" s="234">
        <v>-1032400.3290000001</v>
      </c>
      <c r="F38" s="282">
        <v>1136127.3259614045</v>
      </c>
      <c r="G38" s="282">
        <v>0</v>
      </c>
      <c r="H38" s="235">
        <f t="shared" si="2"/>
        <v>71297986.227151543</v>
      </c>
      <c r="I38" s="234">
        <v>3560592</v>
      </c>
      <c r="J38" s="282">
        <v>0</v>
      </c>
      <c r="K38" s="235">
        <f t="shared" si="1"/>
        <v>74858578.227151543</v>
      </c>
      <c r="L38" s="161"/>
      <c r="M38" s="240"/>
    </row>
    <row r="39" spans="1:13" x14ac:dyDescent="0.45">
      <c r="A39" s="233" t="s">
        <v>16</v>
      </c>
      <c r="B39" s="234">
        <v>2387768.2308776155</v>
      </c>
      <c r="C39" s="234">
        <v>-104676.4436399533</v>
      </c>
      <c r="D39" s="234">
        <v>-550.73292646330856</v>
      </c>
      <c r="E39" s="234">
        <v>32176.268379599984</v>
      </c>
      <c r="F39" s="282">
        <v>8329.552859864998</v>
      </c>
      <c r="G39" s="282">
        <v>0</v>
      </c>
      <c r="H39" s="235">
        <f t="shared" si="2"/>
        <v>2323046.875550664</v>
      </c>
      <c r="I39" s="234">
        <v>34642</v>
      </c>
      <c r="J39" s="282">
        <v>0</v>
      </c>
      <c r="K39" s="235">
        <f t="shared" si="1"/>
        <v>2357688.875550664</v>
      </c>
      <c r="L39" s="161"/>
      <c r="M39" s="240"/>
    </row>
    <row r="40" spans="1:13" x14ac:dyDescent="0.45">
      <c r="A40" s="233" t="s">
        <v>58</v>
      </c>
      <c r="B40" s="234">
        <v>87615725.52543202</v>
      </c>
      <c r="C40" s="234">
        <v>2446434.3364520743</v>
      </c>
      <c r="D40" s="234">
        <v>-20474.271003920061</v>
      </c>
      <c r="E40" s="234">
        <v>2087321.9281359999</v>
      </c>
      <c r="F40" s="282">
        <v>659481.82150343701</v>
      </c>
      <c r="G40" s="282">
        <v>0</v>
      </c>
      <c r="H40" s="235">
        <f t="shared" si="2"/>
        <v>92788489.340519607</v>
      </c>
      <c r="I40" s="234">
        <v>1264733</v>
      </c>
      <c r="J40" s="282">
        <v>0</v>
      </c>
      <c r="K40" s="235">
        <f t="shared" si="1"/>
        <v>94053222.340519607</v>
      </c>
      <c r="L40" s="161"/>
      <c r="M40" s="240"/>
    </row>
    <row r="41" spans="1:13" x14ac:dyDescent="0.45">
      <c r="A41" s="233" t="s">
        <v>59</v>
      </c>
      <c r="B41" s="234">
        <v>132336756.14763848</v>
      </c>
      <c r="C41" s="234">
        <v>-2953490.2600004412</v>
      </c>
      <c r="D41" s="234">
        <v>-30341.525533180778</v>
      </c>
      <c r="E41" s="234">
        <v>1021966.0274127575</v>
      </c>
      <c r="F41" s="282">
        <v>2038142.0712703192</v>
      </c>
      <c r="G41" s="282">
        <v>-200528</v>
      </c>
      <c r="H41" s="235">
        <f t="shared" si="2"/>
        <v>132212504.46078794</v>
      </c>
      <c r="I41" s="234">
        <v>2853599</v>
      </c>
      <c r="J41" s="282">
        <v>-210696.24569515599</v>
      </c>
      <c r="K41" s="235">
        <f t="shared" si="1"/>
        <v>134855407.21509281</v>
      </c>
      <c r="L41" s="161"/>
      <c r="M41" s="240"/>
    </row>
    <row r="42" spans="1:13" x14ac:dyDescent="0.45">
      <c r="A42" s="233" t="s">
        <v>60</v>
      </c>
      <c r="B42" s="234">
        <v>52204791.88250006</v>
      </c>
      <c r="C42" s="234">
        <v>-350192.18955039978</v>
      </c>
      <c r="D42" s="234">
        <v>-13129.676898043039</v>
      </c>
      <c r="E42" s="234">
        <v>-1316245.1215999997</v>
      </c>
      <c r="F42" s="282">
        <v>739779.29482464516</v>
      </c>
      <c r="G42" s="282">
        <v>0</v>
      </c>
      <c r="H42" s="235">
        <f t="shared" si="2"/>
        <v>51265004.189276263</v>
      </c>
      <c r="I42" s="234">
        <v>5487135</v>
      </c>
      <c r="J42" s="282">
        <v>0</v>
      </c>
      <c r="K42" s="235">
        <f t="shared" si="1"/>
        <v>56752139.189276263</v>
      </c>
      <c r="L42" s="161"/>
      <c r="M42" s="240"/>
    </row>
    <row r="43" spans="1:13" x14ac:dyDescent="0.45">
      <c r="A43" s="233" t="s">
        <v>45</v>
      </c>
      <c r="B43" s="234">
        <v>29298242.772667244</v>
      </c>
      <c r="C43" s="234">
        <v>1772836.8999819942</v>
      </c>
      <c r="D43" s="234">
        <v>-7450.2330545659652</v>
      </c>
      <c r="E43" s="234">
        <v>424616.64680000016</v>
      </c>
      <c r="F43" s="282">
        <v>264990.83871423936</v>
      </c>
      <c r="G43" s="282">
        <v>0</v>
      </c>
      <c r="H43" s="235">
        <f t="shared" si="2"/>
        <v>31753236.92510891</v>
      </c>
      <c r="I43" s="234">
        <v>1245357</v>
      </c>
      <c r="J43" s="282">
        <v>0</v>
      </c>
      <c r="K43" s="235">
        <f t="shared" si="1"/>
        <v>32998593.92510891</v>
      </c>
      <c r="L43" s="161"/>
      <c r="M43" s="240"/>
    </row>
    <row r="44" spans="1:13" x14ac:dyDescent="0.45">
      <c r="A44" s="233" t="s">
        <v>32</v>
      </c>
      <c r="B44" s="234">
        <v>12841872.381533679</v>
      </c>
      <c r="C44" s="234">
        <v>-4684.9304799337406</v>
      </c>
      <c r="D44" s="234">
        <v>-2901.8578993300598</v>
      </c>
      <c r="E44" s="234">
        <v>60623.636800000015</v>
      </c>
      <c r="F44" s="282">
        <v>60452.582828855047</v>
      </c>
      <c r="G44" s="282">
        <v>-189796</v>
      </c>
      <c r="H44" s="235">
        <f t="shared" si="2"/>
        <v>12765565.812783269</v>
      </c>
      <c r="I44" s="234">
        <v>298958</v>
      </c>
      <c r="J44" s="282">
        <v>-15816.122847577906</v>
      </c>
      <c r="K44" s="235">
        <f t="shared" si="1"/>
        <v>13048707.689935692</v>
      </c>
      <c r="L44" s="161"/>
      <c r="M44" s="240"/>
    </row>
    <row r="45" spans="1:13" x14ac:dyDescent="0.45">
      <c r="A45" s="233" t="s">
        <v>46</v>
      </c>
      <c r="B45" s="234">
        <v>31789179.36492902</v>
      </c>
      <c r="C45" s="234">
        <v>-174732.04116815655</v>
      </c>
      <c r="D45" s="234">
        <v>-7682.060685316239</v>
      </c>
      <c r="E45" s="234">
        <v>54150.388480000111</v>
      </c>
      <c r="F45" s="282">
        <v>298280.08843849192</v>
      </c>
      <c r="G45" s="282">
        <v>0</v>
      </c>
      <c r="H45" s="235">
        <f t="shared" si="2"/>
        <v>31959195.739994038</v>
      </c>
      <c r="I45" s="234">
        <v>2411113</v>
      </c>
      <c r="J45" s="282">
        <v>0</v>
      </c>
      <c r="K45" s="235">
        <f t="shared" si="1"/>
        <v>34370308.739994034</v>
      </c>
      <c r="L45" s="161"/>
      <c r="M45" s="240"/>
    </row>
    <row r="46" spans="1:13" x14ac:dyDescent="0.45">
      <c r="A46" s="233" t="s">
        <v>47</v>
      </c>
      <c r="B46" s="234">
        <v>19404818.378840853</v>
      </c>
      <c r="C46" s="234">
        <v>427935.55556113622</v>
      </c>
      <c r="D46" s="234">
        <v>-4669.0478281647484</v>
      </c>
      <c r="E46" s="234">
        <v>50020.020899999792</v>
      </c>
      <c r="F46" s="282">
        <v>60324.256960656785</v>
      </c>
      <c r="G46" s="282">
        <v>0</v>
      </c>
      <c r="H46" s="235">
        <f t="shared" si="2"/>
        <v>19938429.164434481</v>
      </c>
      <c r="I46" s="234">
        <v>1597662</v>
      </c>
      <c r="J46" s="282">
        <v>0</v>
      </c>
      <c r="K46" s="235">
        <f t="shared" si="1"/>
        <v>21536091.164434481</v>
      </c>
      <c r="L46" s="161"/>
      <c r="M46" s="240"/>
    </row>
    <row r="47" spans="1:13" x14ac:dyDescent="0.45">
      <c r="A47" s="233" t="s">
        <v>61</v>
      </c>
      <c r="B47" s="234">
        <v>72569296.641159818</v>
      </c>
      <c r="C47" s="234">
        <v>-165418.39017414115</v>
      </c>
      <c r="D47" s="234">
        <v>-17232.035770222748</v>
      </c>
      <c r="E47" s="234">
        <v>606489.57788000058</v>
      </c>
      <c r="F47" s="282">
        <v>408200.56291168695</v>
      </c>
      <c r="G47" s="282">
        <v>0</v>
      </c>
      <c r="H47" s="235">
        <f t="shared" si="2"/>
        <v>73401336.356007144</v>
      </c>
      <c r="I47" s="234">
        <v>2309467</v>
      </c>
      <c r="J47" s="282">
        <v>0</v>
      </c>
      <c r="K47" s="235">
        <f t="shared" si="1"/>
        <v>75710803.356007144</v>
      </c>
      <c r="L47" s="161"/>
      <c r="M47" s="240"/>
    </row>
    <row r="48" spans="1:13" x14ac:dyDescent="0.45">
      <c r="A48" s="233" t="s">
        <v>33</v>
      </c>
      <c r="B48" s="234">
        <v>10973474.497619189</v>
      </c>
      <c r="C48" s="234">
        <v>166897.18883688888</v>
      </c>
      <c r="D48" s="234">
        <v>-2613.9062463120413</v>
      </c>
      <c r="E48" s="234">
        <v>238885.37156839998</v>
      </c>
      <c r="F48" s="282">
        <v>76312.241575133943</v>
      </c>
      <c r="G48" s="282">
        <v>-16381</v>
      </c>
      <c r="H48" s="235">
        <f t="shared" si="2"/>
        <v>11436574.3933533</v>
      </c>
      <c r="I48" s="234">
        <v>203558</v>
      </c>
      <c r="J48" s="282">
        <v>-189231</v>
      </c>
      <c r="K48" s="235">
        <f t="shared" si="1"/>
        <v>11450901.3933533</v>
      </c>
      <c r="L48" s="161"/>
      <c r="M48" s="240"/>
    </row>
    <row r="49" spans="1:13" x14ac:dyDescent="0.45">
      <c r="A49" s="233" t="s">
        <v>34</v>
      </c>
      <c r="B49" s="234">
        <v>11781355.823725723</v>
      </c>
      <c r="C49" s="234">
        <v>348727.16776636965</v>
      </c>
      <c r="D49" s="234">
        <v>-2275.5184100002743</v>
      </c>
      <c r="E49" s="234">
        <v>235389.12144999998</v>
      </c>
      <c r="F49" s="282">
        <v>90992.564781162015</v>
      </c>
      <c r="G49" s="282">
        <v>0</v>
      </c>
      <c r="H49" s="235">
        <f t="shared" si="2"/>
        <v>12454189.159313254</v>
      </c>
      <c r="I49" s="234">
        <v>262222</v>
      </c>
      <c r="J49" s="282">
        <v>0</v>
      </c>
      <c r="K49" s="235">
        <f t="shared" si="1"/>
        <v>12716411.159313254</v>
      </c>
      <c r="L49" s="161"/>
      <c r="M49" s="240"/>
    </row>
    <row r="50" spans="1:13" x14ac:dyDescent="0.45">
      <c r="A50" s="233" t="s">
        <v>17</v>
      </c>
      <c r="B50" s="234">
        <v>735182.71986248659</v>
      </c>
      <c r="C50" s="234">
        <v>-39021.295022341612</v>
      </c>
      <c r="D50" s="234">
        <v>28370.106063850457</v>
      </c>
      <c r="E50" s="234">
        <v>9323.0892399999957</v>
      </c>
      <c r="F50" s="282">
        <v>4421.5744453850639</v>
      </c>
      <c r="G50" s="282">
        <v>0</v>
      </c>
      <c r="H50" s="235">
        <f t="shared" si="2"/>
        <v>738276.19458938041</v>
      </c>
      <c r="I50" s="234">
        <v>9616</v>
      </c>
      <c r="J50" s="282">
        <v>0</v>
      </c>
      <c r="K50" s="235">
        <f t="shared" si="1"/>
        <v>747892.19458938041</v>
      </c>
      <c r="L50" s="161"/>
      <c r="M50" s="240"/>
    </row>
    <row r="51" spans="1:13" x14ac:dyDescent="0.45">
      <c r="A51" s="233" t="s">
        <v>35</v>
      </c>
      <c r="B51" s="234">
        <v>2924260.9582385528</v>
      </c>
      <c r="C51" s="234">
        <v>-162978.05384284692</v>
      </c>
      <c r="D51" s="234">
        <v>-671.99063748835329</v>
      </c>
      <c r="E51" s="234">
        <v>137750.24927999999</v>
      </c>
      <c r="F51" s="282">
        <v>29388.04996610697</v>
      </c>
      <c r="G51" s="282">
        <v>0</v>
      </c>
      <c r="H51" s="235">
        <f t="shared" si="2"/>
        <v>2927749.2130043251</v>
      </c>
      <c r="I51" s="234">
        <v>91038</v>
      </c>
      <c r="J51" s="282">
        <v>0</v>
      </c>
      <c r="K51" s="235">
        <f t="shared" si="1"/>
        <v>3018787.2130043251</v>
      </c>
      <c r="L51" s="161"/>
      <c r="M51" s="240"/>
    </row>
    <row r="52" spans="1:13" x14ac:dyDescent="0.45">
      <c r="A52" s="233" t="s">
        <v>48</v>
      </c>
      <c r="B52" s="234">
        <v>19069042.752933335</v>
      </c>
      <c r="C52" s="234">
        <v>-10464.646282629576</v>
      </c>
      <c r="D52" s="234">
        <v>-4487.643629897002</v>
      </c>
      <c r="E52" s="234">
        <v>597864.59068133018</v>
      </c>
      <c r="F52" s="282">
        <v>245863.80416463997</v>
      </c>
      <c r="G52" s="282">
        <v>0</v>
      </c>
      <c r="H52" s="235">
        <f t="shared" si="2"/>
        <v>19897818.857866779</v>
      </c>
      <c r="I52" s="234">
        <v>353779</v>
      </c>
      <c r="J52" s="282">
        <v>0</v>
      </c>
      <c r="K52" s="235">
        <f t="shared" si="1"/>
        <v>20251597.857866779</v>
      </c>
      <c r="L52" s="161"/>
      <c r="M52" s="240"/>
    </row>
    <row r="53" spans="1:13" x14ac:dyDescent="0.45">
      <c r="A53" s="233" t="s">
        <v>49</v>
      </c>
      <c r="B53" s="234">
        <v>21951153.283072997</v>
      </c>
      <c r="C53" s="234">
        <v>-409144.65124320565</v>
      </c>
      <c r="D53" s="234">
        <v>-5157.8818569619225</v>
      </c>
      <c r="E53" s="234">
        <v>63956.247500000027</v>
      </c>
      <c r="F53" s="282">
        <v>305072.71259087126</v>
      </c>
      <c r="G53" s="282">
        <v>0</v>
      </c>
      <c r="H53" s="235">
        <f t="shared" si="2"/>
        <v>21905879.710063696</v>
      </c>
      <c r="I53" s="234">
        <v>1172050</v>
      </c>
      <c r="J53" s="282">
        <v>0</v>
      </c>
      <c r="K53" s="235">
        <f t="shared" si="1"/>
        <v>23077929.710063696</v>
      </c>
      <c r="L53" s="161"/>
      <c r="M53" s="240"/>
    </row>
    <row r="54" spans="1:13" x14ac:dyDescent="0.45">
      <c r="A54" s="233" t="s">
        <v>50</v>
      </c>
      <c r="B54" s="234">
        <v>18420142.652758636</v>
      </c>
      <c r="C54" s="234">
        <v>752566.07535070134</v>
      </c>
      <c r="D54" s="234">
        <v>-4783.692016308547</v>
      </c>
      <c r="E54" s="234">
        <v>95213.38209999993</v>
      </c>
      <c r="F54" s="282">
        <v>404981.55301048781</v>
      </c>
      <c r="G54" s="282">
        <v>0</v>
      </c>
      <c r="H54" s="235">
        <f t="shared" si="2"/>
        <v>19668119.971203517</v>
      </c>
      <c r="I54" s="234">
        <v>1305230</v>
      </c>
      <c r="J54" s="282">
        <v>0</v>
      </c>
      <c r="K54" s="235">
        <f t="shared" si="1"/>
        <v>20973349.971203517</v>
      </c>
      <c r="L54" s="161"/>
      <c r="M54" s="240"/>
    </row>
    <row r="55" spans="1:13" x14ac:dyDescent="0.45">
      <c r="A55" s="233" t="s">
        <v>36</v>
      </c>
      <c r="B55" s="234">
        <v>4344979.6475967215</v>
      </c>
      <c r="C55" s="234">
        <v>276084.37401175639</v>
      </c>
      <c r="D55" s="234">
        <v>-1076.084022684533</v>
      </c>
      <c r="E55" s="234">
        <v>34036.27840000001</v>
      </c>
      <c r="F55" s="282">
        <v>35710.057675717777</v>
      </c>
      <c r="G55" s="282">
        <v>0</v>
      </c>
      <c r="H55" s="235">
        <f t="shared" si="2"/>
        <v>4689734.2736615101</v>
      </c>
      <c r="I55" s="234">
        <v>159761</v>
      </c>
      <c r="J55" s="282">
        <v>0</v>
      </c>
      <c r="K55" s="235">
        <f t="shared" si="1"/>
        <v>4849495.2736615101</v>
      </c>
      <c r="L55" s="161"/>
      <c r="M55" s="240"/>
    </row>
    <row r="56" spans="1:13" x14ac:dyDescent="0.45">
      <c r="A56" s="233" t="s">
        <v>37</v>
      </c>
      <c r="B56" s="234">
        <v>3360711.5285634515</v>
      </c>
      <c r="C56" s="234">
        <v>174873.33251793345</v>
      </c>
      <c r="D56" s="234">
        <v>-865.81391936744444</v>
      </c>
      <c r="E56" s="234">
        <v>54681.591500000024</v>
      </c>
      <c r="F56" s="282">
        <v>12296.474840176359</v>
      </c>
      <c r="G56" s="282">
        <v>0</v>
      </c>
      <c r="H56" s="235">
        <f t="shared" si="2"/>
        <v>3601697.1135021942</v>
      </c>
      <c r="I56" s="234">
        <v>108184</v>
      </c>
      <c r="J56" s="282">
        <v>0</v>
      </c>
      <c r="K56" s="235">
        <f t="shared" si="1"/>
        <v>3709881.1135021942</v>
      </c>
      <c r="L56" s="161"/>
      <c r="M56" s="240"/>
    </row>
    <row r="57" spans="1:13" x14ac:dyDescent="0.45">
      <c r="A57" s="233" t="s">
        <v>18</v>
      </c>
      <c r="B57" s="234">
        <v>1700726.7513833407</v>
      </c>
      <c r="C57" s="234">
        <v>65684.876346716424</v>
      </c>
      <c r="D57" s="234">
        <v>-307.76744123002322</v>
      </c>
      <c r="E57" s="234">
        <v>10086.432070000012</v>
      </c>
      <c r="F57" s="282">
        <v>9879.6733552668684</v>
      </c>
      <c r="G57" s="282">
        <v>0</v>
      </c>
      <c r="H57" s="235">
        <f t="shared" si="2"/>
        <v>1786069.965714094</v>
      </c>
      <c r="I57" s="234">
        <v>53679</v>
      </c>
      <c r="J57" s="282">
        <v>0</v>
      </c>
      <c r="K57" s="235">
        <f t="shared" si="1"/>
        <v>1839748.965714094</v>
      </c>
      <c r="L57" s="161"/>
      <c r="M57" s="240"/>
    </row>
    <row r="58" spans="1:13" x14ac:dyDescent="0.45">
      <c r="A58" s="233" t="s">
        <v>51</v>
      </c>
      <c r="B58" s="234">
        <v>15593034.620945645</v>
      </c>
      <c r="C58" s="234">
        <v>1112551.4639240918</v>
      </c>
      <c r="D58" s="234">
        <v>-3937.3369333992578</v>
      </c>
      <c r="E58" s="234">
        <v>410850.45239999995</v>
      </c>
      <c r="F58" s="282">
        <v>51103.797011122748</v>
      </c>
      <c r="G58" s="282">
        <v>0</v>
      </c>
      <c r="H58" s="235">
        <f t="shared" si="2"/>
        <v>17163602.997347459</v>
      </c>
      <c r="I58" s="234">
        <v>33744</v>
      </c>
      <c r="J58" s="282">
        <v>0</v>
      </c>
      <c r="K58" s="235">
        <f t="shared" si="1"/>
        <v>17197346.997347459</v>
      </c>
      <c r="L58" s="161"/>
      <c r="M58" s="240"/>
    </row>
    <row r="59" spans="1:13" x14ac:dyDescent="0.45">
      <c r="A59" s="233" t="s">
        <v>38</v>
      </c>
      <c r="B59" s="234">
        <v>2932871.2617957154</v>
      </c>
      <c r="C59" s="234">
        <v>72657.739626804454</v>
      </c>
      <c r="D59" s="234">
        <v>-664.02798737192052</v>
      </c>
      <c r="E59" s="234">
        <v>91053.041049999971</v>
      </c>
      <c r="F59" s="282">
        <v>9518.8813339219705</v>
      </c>
      <c r="G59" s="282">
        <v>0</v>
      </c>
      <c r="H59" s="235">
        <f t="shared" si="2"/>
        <v>3105436.8958190698</v>
      </c>
      <c r="I59" s="234">
        <v>50352</v>
      </c>
      <c r="J59" s="282">
        <v>0</v>
      </c>
      <c r="K59" s="235">
        <f t="shared" si="1"/>
        <v>3155788.8958190698</v>
      </c>
      <c r="L59" s="161"/>
      <c r="M59" s="240"/>
    </row>
    <row r="60" spans="1:13" x14ac:dyDescent="0.45">
      <c r="A60" s="233" t="s">
        <v>52</v>
      </c>
      <c r="B60" s="234">
        <v>31195656.206653278</v>
      </c>
      <c r="C60" s="234">
        <v>1092944.2920948295</v>
      </c>
      <c r="D60" s="234">
        <v>-7430.358461823871</v>
      </c>
      <c r="E60" s="234">
        <v>450231.62135959975</v>
      </c>
      <c r="F60" s="282">
        <v>268090.26461962162</v>
      </c>
      <c r="G60" s="282">
        <v>0</v>
      </c>
      <c r="H60" s="235">
        <f t="shared" si="2"/>
        <v>32999492.026265506</v>
      </c>
      <c r="I60" s="234">
        <v>968753</v>
      </c>
      <c r="J60" s="282">
        <v>0</v>
      </c>
      <c r="K60" s="235">
        <f t="shared" si="1"/>
        <v>33968245.026265502</v>
      </c>
      <c r="L60" s="161"/>
      <c r="M60" s="240"/>
    </row>
    <row r="61" spans="1:13" x14ac:dyDescent="0.45">
      <c r="A61" s="233" t="s">
        <v>39</v>
      </c>
      <c r="B61" s="234">
        <v>8373491.2820710102</v>
      </c>
      <c r="C61" s="234">
        <v>405132.50020065531</v>
      </c>
      <c r="D61" s="234">
        <v>-1944.0023368784084</v>
      </c>
      <c r="E61" s="234">
        <v>123355.73513999995</v>
      </c>
      <c r="F61" s="282">
        <v>83319.307534330117</v>
      </c>
      <c r="G61" s="282">
        <v>0</v>
      </c>
      <c r="H61" s="235">
        <f t="shared" si="2"/>
        <v>8983354.8226091154</v>
      </c>
      <c r="I61" s="234">
        <v>210077</v>
      </c>
      <c r="J61" s="282">
        <v>0</v>
      </c>
      <c r="K61" s="235">
        <f t="shared" si="1"/>
        <v>9193431.8226091154</v>
      </c>
      <c r="L61" s="161"/>
      <c r="M61" s="240"/>
    </row>
    <row r="62" spans="1:13" x14ac:dyDescent="0.45">
      <c r="A62" s="233" t="s">
        <v>40</v>
      </c>
      <c r="B62" s="234">
        <v>3598815.1218316569</v>
      </c>
      <c r="C62" s="234">
        <v>586977.04277461593</v>
      </c>
      <c r="D62" s="234">
        <v>-1000.4019001584114</v>
      </c>
      <c r="E62" s="234">
        <v>122049.72031999999</v>
      </c>
      <c r="F62" s="282">
        <v>32747.272897389717</v>
      </c>
      <c r="G62" s="282">
        <v>0</v>
      </c>
      <c r="H62" s="235">
        <f t="shared" si="2"/>
        <v>4339588.755923504</v>
      </c>
      <c r="I62" s="234">
        <v>90867</v>
      </c>
      <c r="J62" s="282">
        <v>0</v>
      </c>
      <c r="K62" s="235">
        <f t="shared" si="1"/>
        <v>4430455.755923504</v>
      </c>
      <c r="L62" s="161"/>
      <c r="M62" s="240"/>
    </row>
    <row r="63" spans="1:13" x14ac:dyDescent="0.45">
      <c r="A63" s="236" t="s">
        <v>0</v>
      </c>
      <c r="B63" s="235">
        <f t="shared" ref="B63:K63" si="3">SUM(B5:B62)</f>
        <v>1704870289.5724053</v>
      </c>
      <c r="C63" s="235">
        <f t="shared" si="3"/>
        <v>19588058.000000041</v>
      </c>
      <c r="D63" s="235">
        <f t="shared" si="3"/>
        <v>-3.3764990803319961E-11</v>
      </c>
      <c r="E63" s="235">
        <f t="shared" si="3"/>
        <v>8452388.1009941567</v>
      </c>
      <c r="F63" s="235">
        <f t="shared" si="3"/>
        <v>20292087.999999993</v>
      </c>
      <c r="G63" s="235">
        <f t="shared" si="3"/>
        <v>-406705</v>
      </c>
      <c r="H63" s="365">
        <f t="shared" si="3"/>
        <v>1752796118.6733994</v>
      </c>
      <c r="I63" s="235">
        <f t="shared" si="3"/>
        <v>68818601</v>
      </c>
      <c r="J63" s="365">
        <f t="shared" si="3"/>
        <v>-621355.36854273384</v>
      </c>
      <c r="K63" s="235">
        <f t="shared" si="3"/>
        <v>1820993364.3048568</v>
      </c>
      <c r="L63" s="240"/>
      <c r="M63" s="240"/>
    </row>
    <row r="64" spans="1:13" x14ac:dyDescent="0.45">
      <c r="A64" s="364" t="s">
        <v>559</v>
      </c>
      <c r="J64" s="366">
        <f>H63+J63</f>
        <v>1752174763.3048568</v>
      </c>
    </row>
    <row r="65" spans="1:11" x14ac:dyDescent="0.45">
      <c r="A65" s="426"/>
      <c r="B65" s="426"/>
      <c r="C65" s="426"/>
      <c r="D65" s="426"/>
      <c r="E65" s="426"/>
      <c r="F65" s="426"/>
      <c r="G65" s="426"/>
      <c r="H65" s="426"/>
      <c r="I65" s="426"/>
      <c r="J65" s="426"/>
      <c r="K65" s="426"/>
    </row>
    <row r="68" spans="1:11" x14ac:dyDescent="0.45">
      <c r="B68" s="229" t="s">
        <v>574</v>
      </c>
      <c r="H68" s="240"/>
      <c r="K68" s="240"/>
    </row>
    <row r="69" spans="1:11" x14ac:dyDescent="0.45">
      <c r="B69" s="229" t="s">
        <v>575</v>
      </c>
    </row>
    <row r="70" spans="1:11" x14ac:dyDescent="0.45">
      <c r="B70" s="372" t="s">
        <v>576</v>
      </c>
      <c r="C70" s="372"/>
    </row>
  </sheetData>
  <mergeCells count="2">
    <mergeCell ref="A1:K1"/>
    <mergeCell ref="A65:K65"/>
  </mergeCells>
  <printOptions horizontalCentered="1"/>
  <pageMargins left="0.2" right="0.2" top="0.5" bottom="0.5" header="0.3" footer="0.3"/>
  <pageSetup scale="79" fitToHeight="2" orientation="landscape" r:id="rId1"/>
  <headerFooter>
    <oddHeader>&amp;R&amp;"Times New Roman,Bold"&amp;12Attachment C</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N70"/>
  <sheetViews>
    <sheetView zoomScale="90" zoomScaleNormal="90" workbookViewId="0">
      <pane xSplit="1" ySplit="4" topLeftCell="B35" activePane="bottomRight" state="frozen"/>
      <selection activeCell="M68" sqref="M68"/>
      <selection pane="topRight" activeCell="M68" sqref="M68"/>
      <selection pane="bottomLeft" activeCell="M68" sqref="M68"/>
      <selection pane="bottomRight" activeCell="M68" sqref="M68"/>
    </sheetView>
  </sheetViews>
  <sheetFormatPr defaultColWidth="8.86328125" defaultRowHeight="11.65" x14ac:dyDescent="0.35"/>
  <cols>
    <col min="1" max="1" width="19.1328125" style="283" customWidth="1"/>
    <col min="2" max="4" width="15.86328125" style="301" customWidth="1"/>
    <col min="5" max="5" width="0.3984375" style="299" customWidth="1"/>
    <col min="6" max="8" width="15.86328125" style="301" customWidth="1"/>
    <col min="9" max="9" width="8.86328125" style="283"/>
    <col min="10" max="10" width="12.3984375" style="283" hidden="1" customWidth="1"/>
    <col min="11" max="11" width="0" style="283" hidden="1" customWidth="1"/>
    <col min="12" max="12" width="13.3984375" style="283" hidden="1" customWidth="1"/>
    <col min="13" max="13" width="9.73046875" style="283" hidden="1" customWidth="1"/>
    <col min="14" max="16" width="0" style="283" hidden="1" customWidth="1"/>
    <col min="17" max="16384" width="8.86328125" style="283"/>
  </cols>
  <sheetData>
    <row r="1" spans="1:13" ht="35.450000000000003" customHeight="1" x14ac:dyDescent="0.35">
      <c r="A1" s="427" t="s">
        <v>555</v>
      </c>
      <c r="B1" s="428"/>
      <c r="C1" s="428"/>
      <c r="D1" s="428"/>
      <c r="E1" s="428"/>
      <c r="F1" s="428"/>
      <c r="G1" s="428"/>
      <c r="H1" s="428"/>
    </row>
    <row r="2" spans="1:13" s="285" customFormat="1" ht="30.6" customHeight="1" x14ac:dyDescent="0.35">
      <c r="A2" s="429" t="s">
        <v>524</v>
      </c>
      <c r="B2" s="432" t="s">
        <v>525</v>
      </c>
      <c r="C2" s="433"/>
      <c r="D2" s="434"/>
      <c r="E2" s="284"/>
      <c r="F2" s="432" t="s">
        <v>526</v>
      </c>
      <c r="G2" s="433"/>
      <c r="H2" s="434"/>
    </row>
    <row r="3" spans="1:13" s="285" customFormat="1" ht="34.9" x14ac:dyDescent="0.35">
      <c r="A3" s="430"/>
      <c r="B3" s="286" t="s">
        <v>527</v>
      </c>
      <c r="C3" s="287" t="s">
        <v>528</v>
      </c>
      <c r="D3" s="288" t="s">
        <v>529</v>
      </c>
      <c r="E3" s="289"/>
      <c r="F3" s="286" t="s">
        <v>527</v>
      </c>
      <c r="G3" s="286" t="s">
        <v>530</v>
      </c>
      <c r="H3" s="290" t="s">
        <v>531</v>
      </c>
    </row>
    <row r="4" spans="1:13" s="294" customFormat="1" ht="14.1" customHeight="1" x14ac:dyDescent="0.35">
      <c r="A4" s="431"/>
      <c r="B4" s="291" t="s">
        <v>68</v>
      </c>
      <c r="C4" s="291" t="s">
        <v>1</v>
      </c>
      <c r="D4" s="292" t="s">
        <v>69</v>
      </c>
      <c r="E4" s="293"/>
      <c r="F4" s="291" t="s">
        <v>2</v>
      </c>
      <c r="G4" s="291" t="s">
        <v>3</v>
      </c>
      <c r="H4" s="291" t="s">
        <v>142</v>
      </c>
      <c r="M4" s="294" t="s">
        <v>532</v>
      </c>
    </row>
    <row r="5" spans="1:13" ht="14.25" x14ac:dyDescent="0.45">
      <c r="A5" s="295" t="s">
        <v>53</v>
      </c>
      <c r="B5" s="296">
        <v>-133808.52990000055</v>
      </c>
      <c r="C5" s="297">
        <v>-28184.47140000002</v>
      </c>
      <c r="D5" s="298">
        <f>B5+C5</f>
        <v>-161993.00130000056</v>
      </c>
      <c r="F5" s="296">
        <v>-117415.08990000052</v>
      </c>
      <c r="G5" s="297">
        <v>-28184.47140000002</v>
      </c>
      <c r="H5" s="300">
        <f t="shared" ref="H5:H61" si="0">F5+G5</f>
        <v>-145599.56130000053</v>
      </c>
      <c r="I5" s="301"/>
      <c r="J5" s="302">
        <v>-145599.56130000053</v>
      </c>
      <c r="L5" s="301">
        <f>J5-H5</f>
        <v>0</v>
      </c>
      <c r="M5" s="301">
        <f>H5-D5</f>
        <v>16393.440000000031</v>
      </c>
    </row>
    <row r="6" spans="1:13" ht="14.25" x14ac:dyDescent="0.45">
      <c r="A6" s="295" t="s">
        <v>4</v>
      </c>
      <c r="B6" s="296">
        <v>6613.5618799999993</v>
      </c>
      <c r="C6" s="297">
        <v>0</v>
      </c>
      <c r="D6" s="298">
        <f t="shared" ref="D6:D62" si="1">B6+C6</f>
        <v>6613.5618799999993</v>
      </c>
      <c r="F6" s="296">
        <v>11841.889419999998</v>
      </c>
      <c r="G6" s="297">
        <v>0</v>
      </c>
      <c r="H6" s="300">
        <f t="shared" si="0"/>
        <v>11841.889419999998</v>
      </c>
      <c r="I6" s="301"/>
      <c r="J6" s="302">
        <v>11841.889419999998</v>
      </c>
      <c r="L6" s="301">
        <f t="shared" ref="L6:L62" si="2">J6-H6</f>
        <v>0</v>
      </c>
      <c r="M6" s="301">
        <f t="shared" ref="M6:M62" si="3">H6-D6</f>
        <v>5228.3275399999984</v>
      </c>
    </row>
    <row r="7" spans="1:13" ht="14.25" x14ac:dyDescent="0.45">
      <c r="A7" s="295" t="s">
        <v>5</v>
      </c>
      <c r="B7" s="296">
        <v>21663.390930000009</v>
      </c>
      <c r="C7" s="297">
        <v>0</v>
      </c>
      <c r="D7" s="298">
        <f t="shared" si="1"/>
        <v>21663.390930000009</v>
      </c>
      <c r="F7" s="296">
        <v>21663.390930000009</v>
      </c>
      <c r="G7" s="297">
        <v>0</v>
      </c>
      <c r="H7" s="300">
        <f t="shared" si="0"/>
        <v>21663.390930000009</v>
      </c>
      <c r="I7" s="301"/>
      <c r="J7" s="302">
        <v>21663.390930000009</v>
      </c>
      <c r="L7" s="301">
        <f t="shared" si="2"/>
        <v>0</v>
      </c>
      <c r="M7" s="301">
        <f t="shared" si="3"/>
        <v>0</v>
      </c>
    </row>
    <row r="8" spans="1:13" ht="14.25" x14ac:dyDescent="0.45">
      <c r="A8" s="295" t="s">
        <v>19</v>
      </c>
      <c r="B8" s="296">
        <v>65744.87142999997</v>
      </c>
      <c r="C8" s="297">
        <v>0</v>
      </c>
      <c r="D8" s="298">
        <f t="shared" si="1"/>
        <v>65744.87142999997</v>
      </c>
      <c r="F8" s="296">
        <v>65289.591429999971</v>
      </c>
      <c r="G8" s="297">
        <v>0</v>
      </c>
      <c r="H8" s="300">
        <f t="shared" si="0"/>
        <v>65289.591429999971</v>
      </c>
      <c r="I8" s="301"/>
      <c r="J8" s="302">
        <v>65289.591429999971</v>
      </c>
      <c r="L8" s="301">
        <f t="shared" si="2"/>
        <v>0</v>
      </c>
      <c r="M8" s="301">
        <f t="shared" si="3"/>
        <v>-455.27999999999884</v>
      </c>
    </row>
    <row r="9" spans="1:13" ht="14.25" x14ac:dyDescent="0.45">
      <c r="A9" s="295" t="s">
        <v>6</v>
      </c>
      <c r="B9" s="296">
        <v>22185.460519999993</v>
      </c>
      <c r="C9" s="297">
        <v>0</v>
      </c>
      <c r="D9" s="298">
        <f t="shared" si="1"/>
        <v>22185.460519999993</v>
      </c>
      <c r="F9" s="296">
        <v>20469.460519999993</v>
      </c>
      <c r="G9" s="297">
        <v>0</v>
      </c>
      <c r="H9" s="300">
        <f t="shared" si="0"/>
        <v>20469.460519999993</v>
      </c>
      <c r="I9" s="301"/>
      <c r="J9" s="302">
        <v>20469.460519999993</v>
      </c>
      <c r="L9" s="301">
        <f t="shared" si="2"/>
        <v>0</v>
      </c>
      <c r="M9" s="301">
        <f t="shared" si="3"/>
        <v>-1716</v>
      </c>
    </row>
    <row r="10" spans="1:13" ht="14.25" x14ac:dyDescent="0.45">
      <c r="A10" s="295" t="s">
        <v>7</v>
      </c>
      <c r="B10" s="296">
        <v>10573.165069999988</v>
      </c>
      <c r="C10" s="297">
        <v>0</v>
      </c>
      <c r="D10" s="298">
        <f t="shared" si="1"/>
        <v>10573.165069999988</v>
      </c>
      <c r="F10" s="296">
        <v>21698.80506999998</v>
      </c>
      <c r="G10" s="297">
        <v>0</v>
      </c>
      <c r="H10" s="300">
        <f t="shared" si="0"/>
        <v>21698.80506999998</v>
      </c>
      <c r="I10" s="301"/>
      <c r="J10" s="302">
        <v>21698.80506999998</v>
      </c>
      <c r="L10" s="301">
        <f t="shared" si="2"/>
        <v>0</v>
      </c>
      <c r="M10" s="301">
        <f t="shared" si="3"/>
        <v>11125.639999999992</v>
      </c>
    </row>
    <row r="11" spans="1:13" ht="14.25" x14ac:dyDescent="0.45">
      <c r="A11" s="295" t="s">
        <v>41</v>
      </c>
      <c r="B11" s="296">
        <v>-176225.43580000038</v>
      </c>
      <c r="C11" s="297">
        <v>-12335.479618012447</v>
      </c>
      <c r="D11" s="298">
        <f t="shared" si="1"/>
        <v>-188560.91541801282</v>
      </c>
      <c r="F11" s="296">
        <v>-627558.83580000023</v>
      </c>
      <c r="G11" s="297">
        <v>-24210.839618012444</v>
      </c>
      <c r="H11" s="300">
        <f t="shared" si="0"/>
        <v>-651769.67541801266</v>
      </c>
      <c r="I11" s="301"/>
      <c r="J11" s="302">
        <v>-651769.67541801266</v>
      </c>
      <c r="L11" s="301">
        <f t="shared" si="2"/>
        <v>0</v>
      </c>
      <c r="M11" s="301">
        <f t="shared" si="3"/>
        <v>-463208.75999999983</v>
      </c>
    </row>
    <row r="12" spans="1:13" ht="14.25" x14ac:dyDescent="0.45">
      <c r="A12" s="295" t="s">
        <v>8</v>
      </c>
      <c r="B12" s="296">
        <v>44882.619420000017</v>
      </c>
      <c r="C12" s="297">
        <v>0</v>
      </c>
      <c r="D12" s="298">
        <f t="shared" si="1"/>
        <v>44882.619420000017</v>
      </c>
      <c r="F12" s="296">
        <v>39608.979420000018</v>
      </c>
      <c r="G12" s="297">
        <v>0</v>
      </c>
      <c r="H12" s="300">
        <f t="shared" si="0"/>
        <v>39608.979420000018</v>
      </c>
      <c r="I12" s="301"/>
      <c r="J12" s="302">
        <v>39608.979420000018</v>
      </c>
      <c r="L12" s="301">
        <f t="shared" si="2"/>
        <v>0</v>
      </c>
      <c r="M12" s="301">
        <f t="shared" si="3"/>
        <v>-5273.6399999999994</v>
      </c>
    </row>
    <row r="13" spans="1:13" ht="14.25" x14ac:dyDescent="0.45">
      <c r="A13" s="295" t="s">
        <v>20</v>
      </c>
      <c r="B13" s="296">
        <v>47636.042359999934</v>
      </c>
      <c r="C13" s="297">
        <v>3340.5404199999989</v>
      </c>
      <c r="D13" s="298">
        <f t="shared" si="1"/>
        <v>50976.582779999932</v>
      </c>
      <c r="F13" s="296">
        <v>38696.042359999934</v>
      </c>
      <c r="G13" s="297">
        <v>3340.5404199999989</v>
      </c>
      <c r="H13" s="300">
        <f t="shared" si="0"/>
        <v>42036.582779999932</v>
      </c>
      <c r="I13" s="301"/>
      <c r="J13" s="302">
        <v>42036.582779999932</v>
      </c>
      <c r="L13" s="301">
        <f t="shared" si="2"/>
        <v>0</v>
      </c>
      <c r="M13" s="301">
        <f t="shared" si="3"/>
        <v>-8940</v>
      </c>
    </row>
    <row r="14" spans="1:13" ht="14.25" x14ac:dyDescent="0.45">
      <c r="A14" s="295" t="s">
        <v>42</v>
      </c>
      <c r="B14" s="296">
        <v>-615644.32060000068</v>
      </c>
      <c r="C14" s="297">
        <v>-15679.044700000019</v>
      </c>
      <c r="D14" s="298">
        <f t="shared" si="1"/>
        <v>-631323.36530000065</v>
      </c>
      <c r="F14" s="296">
        <v>-240621.76060000079</v>
      </c>
      <c r="G14" s="297">
        <v>-5414.2447000000211</v>
      </c>
      <c r="H14" s="300">
        <f t="shared" si="0"/>
        <v>-246036.0053000008</v>
      </c>
      <c r="I14" s="301"/>
      <c r="J14" s="302">
        <v>-246036.0053000008</v>
      </c>
      <c r="L14" s="301">
        <f t="shared" si="2"/>
        <v>0</v>
      </c>
      <c r="M14" s="301">
        <f t="shared" si="3"/>
        <v>385287.35999999987</v>
      </c>
    </row>
    <row r="15" spans="1:13" ht="14.25" x14ac:dyDescent="0.45">
      <c r="A15" s="295" t="s">
        <v>9</v>
      </c>
      <c r="B15" s="296">
        <v>25740.987799999981</v>
      </c>
      <c r="C15" s="297">
        <v>0</v>
      </c>
      <c r="D15" s="298">
        <f t="shared" si="1"/>
        <v>25740.987799999981</v>
      </c>
      <c r="F15" s="296">
        <v>48932.707799999967</v>
      </c>
      <c r="G15" s="297">
        <v>0</v>
      </c>
      <c r="H15" s="300">
        <f t="shared" si="0"/>
        <v>48932.707799999967</v>
      </c>
      <c r="I15" s="301"/>
      <c r="J15" s="302">
        <v>48932.707799999967</v>
      </c>
      <c r="L15" s="301">
        <f t="shared" si="2"/>
        <v>0</v>
      </c>
      <c r="M15" s="301">
        <f t="shared" si="3"/>
        <v>23191.719999999987</v>
      </c>
    </row>
    <row r="16" spans="1:13" ht="14.25" x14ac:dyDescent="0.45">
      <c r="A16" s="295" t="s">
        <v>21</v>
      </c>
      <c r="B16" s="296">
        <v>98822.888820000066</v>
      </c>
      <c r="C16" s="297">
        <v>936</v>
      </c>
      <c r="D16" s="298">
        <f t="shared" si="1"/>
        <v>99758.888820000066</v>
      </c>
      <c r="F16" s="296">
        <v>92630.888820000066</v>
      </c>
      <c r="G16" s="297">
        <v>780</v>
      </c>
      <c r="H16" s="300">
        <f t="shared" si="0"/>
        <v>93410.888820000066</v>
      </c>
      <c r="I16" s="301"/>
      <c r="J16" s="302">
        <v>93410.888820000066</v>
      </c>
      <c r="L16" s="301">
        <f t="shared" si="2"/>
        <v>0</v>
      </c>
      <c r="M16" s="301">
        <f t="shared" si="3"/>
        <v>-6348</v>
      </c>
    </row>
    <row r="17" spans="1:13" ht="14.25" x14ac:dyDescent="0.45">
      <c r="A17" s="295" t="s">
        <v>533</v>
      </c>
      <c r="B17" s="296">
        <v>20929.163880000051</v>
      </c>
      <c r="C17" s="297">
        <v>18.477800000002389</v>
      </c>
      <c r="D17" s="298">
        <f t="shared" si="1"/>
        <v>20947.641680000052</v>
      </c>
      <c r="F17" s="296">
        <v>-31042.251599999963</v>
      </c>
      <c r="G17" s="297">
        <v>-393.84219999999686</v>
      </c>
      <c r="H17" s="300">
        <f t="shared" si="0"/>
        <v>-31436.093799999959</v>
      </c>
      <c r="I17" s="301"/>
      <c r="J17" s="302">
        <v>-31436.093799999959</v>
      </c>
      <c r="L17" s="301">
        <f t="shared" si="2"/>
        <v>0</v>
      </c>
      <c r="M17" s="301">
        <f t="shared" si="3"/>
        <v>-52383.73548000001</v>
      </c>
    </row>
    <row r="18" spans="1:13" ht="14.25" x14ac:dyDescent="0.45">
      <c r="A18" s="295" t="s">
        <v>10</v>
      </c>
      <c r="B18" s="296">
        <v>37274.760109999988</v>
      </c>
      <c r="C18" s="297">
        <v>0</v>
      </c>
      <c r="D18" s="298">
        <f t="shared" si="1"/>
        <v>37274.760109999988</v>
      </c>
      <c r="F18" s="296">
        <v>21671.760109999985</v>
      </c>
      <c r="G18" s="297">
        <v>0</v>
      </c>
      <c r="H18" s="300">
        <f t="shared" si="0"/>
        <v>21671.760109999985</v>
      </c>
      <c r="I18" s="301"/>
      <c r="J18" s="302">
        <v>21671.760109999985</v>
      </c>
      <c r="L18" s="301">
        <f t="shared" si="2"/>
        <v>0</v>
      </c>
      <c r="M18" s="301">
        <f t="shared" si="3"/>
        <v>-15603.000000000004</v>
      </c>
    </row>
    <row r="19" spans="1:13" ht="14.25" x14ac:dyDescent="0.45">
      <c r="A19" s="295" t="s">
        <v>43</v>
      </c>
      <c r="B19" s="296">
        <v>-866725.41280000063</v>
      </c>
      <c r="C19" s="297">
        <v>-39596.18240000002</v>
      </c>
      <c r="D19" s="298">
        <f t="shared" si="1"/>
        <v>-906321.59520000068</v>
      </c>
      <c r="F19" s="296">
        <v>-866725.41280000063</v>
      </c>
      <c r="G19" s="297">
        <v>-39596.18240000002</v>
      </c>
      <c r="H19" s="300">
        <f t="shared" si="0"/>
        <v>-906321.59520000068</v>
      </c>
      <c r="I19" s="301"/>
      <c r="J19" s="302">
        <v>-906321.59520000068</v>
      </c>
      <c r="L19" s="301">
        <f t="shared" si="2"/>
        <v>0</v>
      </c>
      <c r="M19" s="301">
        <f t="shared" si="3"/>
        <v>0</v>
      </c>
    </row>
    <row r="20" spans="1:13" ht="14.25" x14ac:dyDescent="0.45">
      <c r="A20" s="295" t="s">
        <v>23</v>
      </c>
      <c r="B20" s="296">
        <v>157933.20559999999</v>
      </c>
      <c r="C20" s="297">
        <v>6349.6768000000075</v>
      </c>
      <c r="D20" s="298">
        <f t="shared" si="1"/>
        <v>164282.8824</v>
      </c>
      <c r="F20" s="296">
        <v>105068.60360000003</v>
      </c>
      <c r="G20" s="297">
        <v>3949.4368000000104</v>
      </c>
      <c r="H20" s="300">
        <f t="shared" si="0"/>
        <v>109018.04040000004</v>
      </c>
      <c r="I20" s="301"/>
      <c r="J20" s="302">
        <v>109018.04040000004</v>
      </c>
      <c r="L20" s="301">
        <f t="shared" si="2"/>
        <v>0</v>
      </c>
      <c r="M20" s="301">
        <f t="shared" si="3"/>
        <v>-55264.841999999961</v>
      </c>
    </row>
    <row r="21" spans="1:13" ht="14.25" x14ac:dyDescent="0.45">
      <c r="A21" s="295" t="s">
        <v>24</v>
      </c>
      <c r="B21" s="296">
        <v>41153.997810000001</v>
      </c>
      <c r="C21" s="297">
        <v>0</v>
      </c>
      <c r="D21" s="298">
        <f t="shared" si="1"/>
        <v>41153.997810000001</v>
      </c>
      <c r="F21" s="296">
        <v>48157.437810000003</v>
      </c>
      <c r="G21" s="297">
        <v>0</v>
      </c>
      <c r="H21" s="300">
        <f t="shared" si="0"/>
        <v>48157.437810000003</v>
      </c>
      <c r="I21" s="301"/>
      <c r="J21" s="302">
        <v>48157.437810000003</v>
      </c>
      <c r="L21" s="301">
        <f t="shared" si="2"/>
        <v>0</v>
      </c>
      <c r="M21" s="301">
        <f t="shared" si="3"/>
        <v>7003.4400000000023</v>
      </c>
    </row>
    <row r="22" spans="1:13" ht="14.25" x14ac:dyDescent="0.45">
      <c r="A22" s="295" t="s">
        <v>11</v>
      </c>
      <c r="B22" s="296">
        <v>16333.095130000014</v>
      </c>
      <c r="C22" s="297">
        <v>3389.2799999999997</v>
      </c>
      <c r="D22" s="298">
        <f t="shared" si="1"/>
        <v>19722.375130000015</v>
      </c>
      <c r="F22" s="296">
        <v>19933.095130000012</v>
      </c>
      <c r="G22" s="297">
        <v>0</v>
      </c>
      <c r="H22" s="300">
        <f t="shared" si="0"/>
        <v>19933.095130000012</v>
      </c>
      <c r="I22" s="301"/>
      <c r="J22" s="302">
        <v>19933.095130000012</v>
      </c>
      <c r="L22" s="301">
        <f t="shared" si="2"/>
        <v>0</v>
      </c>
      <c r="M22" s="301">
        <f t="shared" si="3"/>
        <v>210.71999999999753</v>
      </c>
    </row>
    <row r="23" spans="1:13" ht="14.25" x14ac:dyDescent="0.45">
      <c r="A23" s="295" t="s">
        <v>54</v>
      </c>
      <c r="B23" s="296">
        <v>92403.842299998621</v>
      </c>
      <c r="C23" s="297">
        <v>-7167.6632000000682</v>
      </c>
      <c r="D23" s="298">
        <f t="shared" si="1"/>
        <v>85236.179099998553</v>
      </c>
      <c r="F23" s="296">
        <v>-220591.75770000147</v>
      </c>
      <c r="G23" s="297">
        <v>-48609.783200000064</v>
      </c>
      <c r="H23" s="300">
        <f t="shared" si="0"/>
        <v>-269201.54090000154</v>
      </c>
      <c r="I23" s="301"/>
      <c r="J23" s="302">
        <v>-269201.54090000154</v>
      </c>
      <c r="L23" s="301">
        <f t="shared" si="2"/>
        <v>0</v>
      </c>
      <c r="M23" s="301">
        <f t="shared" si="3"/>
        <v>-354437.72000000009</v>
      </c>
    </row>
    <row r="24" spans="1:13" ht="14.25" x14ac:dyDescent="0.45">
      <c r="A24" s="295" t="s">
        <v>25</v>
      </c>
      <c r="B24" s="296">
        <v>135014.99039999998</v>
      </c>
      <c r="C24" s="297">
        <v>9227.1024000000034</v>
      </c>
      <c r="D24" s="298">
        <f t="shared" si="1"/>
        <v>144242.09279999998</v>
      </c>
      <c r="F24" s="296">
        <v>32253.710399999974</v>
      </c>
      <c r="G24" s="297">
        <v>55.022399999998925</v>
      </c>
      <c r="H24" s="300">
        <f t="shared" si="0"/>
        <v>32308.732799999972</v>
      </c>
      <c r="I24" s="301"/>
      <c r="J24" s="302">
        <v>32308.732799999972</v>
      </c>
      <c r="L24" s="301">
        <f t="shared" si="2"/>
        <v>0</v>
      </c>
      <c r="M24" s="301">
        <f t="shared" si="3"/>
        <v>-111933.36000000002</v>
      </c>
    </row>
    <row r="25" spans="1:13" ht="14.25" x14ac:dyDescent="0.45">
      <c r="A25" s="295" t="s">
        <v>26</v>
      </c>
      <c r="B25" s="296">
        <v>207082.27197507082</v>
      </c>
      <c r="C25" s="297">
        <v>20404.341899999996</v>
      </c>
      <c r="D25" s="298">
        <f t="shared" si="1"/>
        <v>227486.61387507082</v>
      </c>
      <c r="F25" s="296">
        <v>158933.2621985873</v>
      </c>
      <c r="G25" s="297">
        <v>19939.461899999995</v>
      </c>
      <c r="H25" s="300">
        <f t="shared" si="0"/>
        <v>178872.72409858729</v>
      </c>
      <c r="I25" s="301"/>
      <c r="J25" s="302">
        <v>178872.72409858729</v>
      </c>
      <c r="L25" s="301">
        <f t="shared" si="2"/>
        <v>0</v>
      </c>
      <c r="M25" s="301">
        <f t="shared" si="3"/>
        <v>-48613.889776483527</v>
      </c>
    </row>
    <row r="26" spans="1:13" ht="14.25" x14ac:dyDescent="0.45">
      <c r="A26" s="295" t="s">
        <v>12</v>
      </c>
      <c r="B26" s="296">
        <v>16764.042109999995</v>
      </c>
      <c r="C26" s="297">
        <v>0</v>
      </c>
      <c r="D26" s="298">
        <f t="shared" si="1"/>
        <v>16764.042109999995</v>
      </c>
      <c r="F26" s="296">
        <v>30528.042109999995</v>
      </c>
      <c r="G26" s="297">
        <v>0</v>
      </c>
      <c r="H26" s="300">
        <f t="shared" si="0"/>
        <v>30528.042109999995</v>
      </c>
      <c r="I26" s="301"/>
      <c r="J26" s="302">
        <v>30528.042109999995</v>
      </c>
      <c r="L26" s="301">
        <f t="shared" si="2"/>
        <v>0</v>
      </c>
      <c r="M26" s="301">
        <f t="shared" si="3"/>
        <v>13764</v>
      </c>
    </row>
    <row r="27" spans="1:13" ht="14.25" x14ac:dyDescent="0.45">
      <c r="A27" s="295" t="s">
        <v>27</v>
      </c>
      <c r="B27" s="296">
        <v>6646.6455000000278</v>
      </c>
      <c r="C27" s="297">
        <v>5134.7663000000002</v>
      </c>
      <c r="D27" s="298">
        <f t="shared" si="1"/>
        <v>11781.411800000027</v>
      </c>
      <c r="F27" s="296">
        <v>-10851.154499999986</v>
      </c>
      <c r="G27" s="297">
        <v>4789.0463000000009</v>
      </c>
      <c r="H27" s="300">
        <f t="shared" si="0"/>
        <v>-6062.1081999999851</v>
      </c>
      <c r="I27" s="301"/>
      <c r="J27" s="302">
        <v>-6062.1081999999851</v>
      </c>
      <c r="L27" s="301">
        <f t="shared" si="2"/>
        <v>0</v>
      </c>
      <c r="M27" s="301">
        <f t="shared" si="3"/>
        <v>-17843.520000000011</v>
      </c>
    </row>
    <row r="28" spans="1:13" ht="14.25" x14ac:dyDescent="0.45">
      <c r="A28" s="295" t="s">
        <v>28</v>
      </c>
      <c r="B28" s="296">
        <v>-101555.5307</v>
      </c>
      <c r="C28" s="297">
        <v>809.70449999999971</v>
      </c>
      <c r="D28" s="298">
        <f t="shared" si="1"/>
        <v>-100745.82620000001</v>
      </c>
      <c r="F28" s="296">
        <v>-245209.0907</v>
      </c>
      <c r="G28" s="297">
        <v>-4215.7755000000006</v>
      </c>
      <c r="H28" s="300">
        <f t="shared" si="0"/>
        <v>-249424.86619999999</v>
      </c>
      <c r="I28" s="301"/>
      <c r="J28" s="302">
        <v>-249424.86619999999</v>
      </c>
      <c r="L28" s="301">
        <f t="shared" si="2"/>
        <v>0</v>
      </c>
      <c r="M28" s="301">
        <f t="shared" si="3"/>
        <v>-148679.03999999998</v>
      </c>
    </row>
    <row r="29" spans="1:13" ht="14.25" x14ac:dyDescent="0.45">
      <c r="A29" s="295" t="s">
        <v>13</v>
      </c>
      <c r="B29" s="296">
        <v>4474.5910200000108</v>
      </c>
      <c r="C29" s="297">
        <v>0</v>
      </c>
      <c r="D29" s="298">
        <f t="shared" si="1"/>
        <v>4474.5910200000108</v>
      </c>
      <c r="F29" s="296">
        <v>4474.5910200000108</v>
      </c>
      <c r="G29" s="297">
        <v>0</v>
      </c>
      <c r="H29" s="300">
        <f t="shared" si="0"/>
        <v>4474.5910200000108</v>
      </c>
      <c r="I29" s="301"/>
      <c r="J29" s="302">
        <v>4474.5910200000108</v>
      </c>
      <c r="L29" s="301">
        <f t="shared" si="2"/>
        <v>0</v>
      </c>
      <c r="M29" s="301">
        <f t="shared" si="3"/>
        <v>0</v>
      </c>
    </row>
    <row r="30" spans="1:13" ht="14.25" x14ac:dyDescent="0.45">
      <c r="A30" s="295" t="s">
        <v>14</v>
      </c>
      <c r="B30" s="296">
        <v>64256.866100000014</v>
      </c>
      <c r="C30" s="297">
        <v>0</v>
      </c>
      <c r="D30" s="298">
        <f t="shared" si="1"/>
        <v>64256.866100000014</v>
      </c>
      <c r="F30" s="296">
        <v>66470.506100000013</v>
      </c>
      <c r="G30" s="297">
        <v>0</v>
      </c>
      <c r="H30" s="300">
        <f t="shared" si="0"/>
        <v>66470.506100000013</v>
      </c>
      <c r="I30" s="301"/>
      <c r="J30" s="302">
        <v>66470.506100000013</v>
      </c>
      <c r="L30" s="301">
        <f t="shared" si="2"/>
        <v>0</v>
      </c>
      <c r="M30" s="301">
        <f t="shared" si="3"/>
        <v>2213.6399999999994</v>
      </c>
    </row>
    <row r="31" spans="1:13" ht="14.25" x14ac:dyDescent="0.45">
      <c r="A31" s="295" t="s">
        <v>44</v>
      </c>
      <c r="B31" s="296">
        <v>102884.71688999994</v>
      </c>
      <c r="C31" s="297">
        <v>4641.0025799999949</v>
      </c>
      <c r="D31" s="298">
        <f t="shared" si="1"/>
        <v>107525.71946999994</v>
      </c>
      <c r="F31" s="296">
        <v>42356.832089999953</v>
      </c>
      <c r="G31" s="297">
        <v>4641.0025799999949</v>
      </c>
      <c r="H31" s="300">
        <f t="shared" si="0"/>
        <v>46997.834669999946</v>
      </c>
      <c r="I31" s="301"/>
      <c r="J31" s="302">
        <v>46997.834669999946</v>
      </c>
      <c r="L31" s="301">
        <f t="shared" si="2"/>
        <v>0</v>
      </c>
      <c r="M31" s="301">
        <f t="shared" si="3"/>
        <v>-60527.884799999993</v>
      </c>
    </row>
    <row r="32" spans="1:13" ht="14.25" x14ac:dyDescent="0.45">
      <c r="A32" s="295" t="s">
        <v>29</v>
      </c>
      <c r="B32" s="296">
        <v>23399.002000000037</v>
      </c>
      <c r="C32" s="297">
        <v>2379.9415000000017</v>
      </c>
      <c r="D32" s="298">
        <f t="shared" si="1"/>
        <v>25778.943500000038</v>
      </c>
      <c r="F32" s="296">
        <v>26036.597200000055</v>
      </c>
      <c r="G32" s="297">
        <v>2379.5415000000039</v>
      </c>
      <c r="H32" s="300">
        <f t="shared" si="0"/>
        <v>28416.138700000058</v>
      </c>
      <c r="I32" s="301"/>
      <c r="J32" s="302">
        <v>28416.138700000058</v>
      </c>
      <c r="L32" s="301">
        <f t="shared" si="2"/>
        <v>0</v>
      </c>
      <c r="M32" s="301">
        <f t="shared" si="3"/>
        <v>2637.1952000000201</v>
      </c>
    </row>
    <row r="33" spans="1:13" ht="14.25" x14ac:dyDescent="0.45">
      <c r="A33" s="295" t="s">
        <v>30</v>
      </c>
      <c r="B33" s="296">
        <v>138923.0258</v>
      </c>
      <c r="C33" s="297">
        <v>0</v>
      </c>
      <c r="D33" s="298">
        <f t="shared" si="1"/>
        <v>138923.0258</v>
      </c>
      <c r="F33" s="296">
        <v>119536.26580000002</v>
      </c>
      <c r="G33" s="297">
        <v>0</v>
      </c>
      <c r="H33" s="300">
        <f t="shared" si="0"/>
        <v>119536.26580000002</v>
      </c>
      <c r="I33" s="301"/>
      <c r="J33" s="302">
        <v>119536.26580000002</v>
      </c>
      <c r="L33" s="301">
        <f t="shared" si="2"/>
        <v>0</v>
      </c>
      <c r="M33" s="301">
        <f t="shared" si="3"/>
        <v>-19386.75999999998</v>
      </c>
    </row>
    <row r="34" spans="1:13" ht="14.25" x14ac:dyDescent="0.45">
      <c r="A34" s="295" t="s">
        <v>55</v>
      </c>
      <c r="B34" s="296">
        <v>-1248481.8844000031</v>
      </c>
      <c r="C34" s="297">
        <v>-114482.39720000017</v>
      </c>
      <c r="D34" s="298">
        <f t="shared" si="1"/>
        <v>-1362964.2816000034</v>
      </c>
      <c r="F34" s="296">
        <v>-1248481.8844000031</v>
      </c>
      <c r="G34" s="297">
        <v>-114482.39720000017</v>
      </c>
      <c r="H34" s="300">
        <f t="shared" si="0"/>
        <v>-1362964.2816000034</v>
      </c>
      <c r="I34" s="301"/>
      <c r="J34" s="302">
        <v>-1362964.2816000034</v>
      </c>
      <c r="L34" s="301">
        <f t="shared" si="2"/>
        <v>0</v>
      </c>
      <c r="M34" s="301">
        <f t="shared" si="3"/>
        <v>0</v>
      </c>
    </row>
    <row r="35" spans="1:13" ht="14.25" x14ac:dyDescent="0.45">
      <c r="A35" s="295" t="s">
        <v>31</v>
      </c>
      <c r="B35" s="296">
        <v>199413.25988999987</v>
      </c>
      <c r="C35" s="297">
        <v>2502.7281599999978</v>
      </c>
      <c r="D35" s="298">
        <f t="shared" si="1"/>
        <v>201915.98804999987</v>
      </c>
      <c r="F35" s="296">
        <v>199413.25988999987</v>
      </c>
      <c r="G35" s="297">
        <v>2502.7281599999956</v>
      </c>
      <c r="H35" s="300">
        <f t="shared" si="0"/>
        <v>201915.98804999987</v>
      </c>
      <c r="I35" s="301"/>
      <c r="J35" s="302">
        <v>201915.98804999987</v>
      </c>
      <c r="L35" s="301">
        <f t="shared" si="2"/>
        <v>0</v>
      </c>
      <c r="M35" s="301">
        <f t="shared" si="3"/>
        <v>0</v>
      </c>
    </row>
    <row r="36" spans="1:13" ht="14.25" x14ac:dyDescent="0.45">
      <c r="A36" s="295" t="s">
        <v>15</v>
      </c>
      <c r="B36" s="296">
        <v>7440.6476199999997</v>
      </c>
      <c r="C36" s="297">
        <v>0</v>
      </c>
      <c r="D36" s="298">
        <f t="shared" si="1"/>
        <v>7440.6476199999997</v>
      </c>
      <c r="F36" s="296">
        <v>8832.6476199999997</v>
      </c>
      <c r="G36" s="297">
        <v>0</v>
      </c>
      <c r="H36" s="300">
        <f t="shared" si="0"/>
        <v>8832.6476199999997</v>
      </c>
      <c r="I36" s="301"/>
      <c r="J36" s="302">
        <v>8832.6476199999997</v>
      </c>
      <c r="L36" s="301">
        <f t="shared" si="2"/>
        <v>0</v>
      </c>
      <c r="M36" s="301">
        <f t="shared" si="3"/>
        <v>1392</v>
      </c>
    </row>
    <row r="37" spans="1:13" ht="14.25" x14ac:dyDescent="0.45">
      <c r="A37" s="295" t="s">
        <v>56</v>
      </c>
      <c r="B37" s="296">
        <v>1801313.7805999985</v>
      </c>
      <c r="C37" s="297">
        <v>59987.759379999945</v>
      </c>
      <c r="D37" s="298">
        <f t="shared" si="1"/>
        <v>1861301.5399799985</v>
      </c>
      <c r="F37" s="296">
        <v>1370087.1805999987</v>
      </c>
      <c r="G37" s="297">
        <v>43618.559379999941</v>
      </c>
      <c r="H37" s="300">
        <f t="shared" si="0"/>
        <v>1413705.7399799987</v>
      </c>
      <c r="I37" s="301"/>
      <c r="J37" s="302">
        <v>1413705.7399799987</v>
      </c>
      <c r="L37" s="301">
        <f t="shared" si="2"/>
        <v>0</v>
      </c>
      <c r="M37" s="301">
        <f t="shared" si="3"/>
        <v>-447595.79999999981</v>
      </c>
    </row>
    <row r="38" spans="1:13" ht="14.25" x14ac:dyDescent="0.45">
      <c r="A38" s="295" t="s">
        <v>57</v>
      </c>
      <c r="B38" s="296">
        <v>304261.79480000009</v>
      </c>
      <c r="C38" s="297">
        <v>10827.48360000001</v>
      </c>
      <c r="D38" s="298">
        <f t="shared" si="1"/>
        <v>315089.27840000013</v>
      </c>
      <c r="F38" s="296">
        <v>-19334.885199999604</v>
      </c>
      <c r="G38" s="297">
        <v>-645.83639999998741</v>
      </c>
      <c r="H38" s="300">
        <f t="shared" si="0"/>
        <v>-19980.72159999959</v>
      </c>
      <c r="I38" s="301"/>
      <c r="J38" s="302">
        <v>-19980.72159999959</v>
      </c>
      <c r="L38" s="301">
        <f t="shared" si="2"/>
        <v>0</v>
      </c>
      <c r="M38" s="301">
        <f t="shared" si="3"/>
        <v>-335069.99999999971</v>
      </c>
    </row>
    <row r="39" spans="1:13" ht="14.25" x14ac:dyDescent="0.45">
      <c r="A39" s="295" t="s">
        <v>16</v>
      </c>
      <c r="B39" s="296">
        <v>8326.0546999999933</v>
      </c>
      <c r="C39" s="297">
        <v>0</v>
      </c>
      <c r="D39" s="298">
        <f t="shared" si="1"/>
        <v>8326.0546999999933</v>
      </c>
      <c r="F39" s="296">
        <v>8326.0546999999933</v>
      </c>
      <c r="G39" s="297">
        <v>0</v>
      </c>
      <c r="H39" s="300">
        <f t="shared" si="0"/>
        <v>8326.0546999999933</v>
      </c>
      <c r="I39" s="301"/>
      <c r="J39" s="302">
        <v>8326.0546999999933</v>
      </c>
      <c r="L39" s="301">
        <f t="shared" si="2"/>
        <v>0</v>
      </c>
      <c r="M39" s="301">
        <f t="shared" si="3"/>
        <v>0</v>
      </c>
    </row>
    <row r="40" spans="1:13" ht="14.25" x14ac:dyDescent="0.45">
      <c r="A40" s="295" t="s">
        <v>58</v>
      </c>
      <c r="B40" s="296">
        <v>585916.68519999902</v>
      </c>
      <c r="C40" s="297">
        <v>26420.985099999976</v>
      </c>
      <c r="D40" s="298">
        <f t="shared" si="1"/>
        <v>612337.67029999895</v>
      </c>
      <c r="F40" s="296">
        <v>608728.96519999881</v>
      </c>
      <c r="G40" s="297">
        <v>103096.78509999998</v>
      </c>
      <c r="H40" s="300">
        <f t="shared" si="0"/>
        <v>711825.75029999879</v>
      </c>
      <c r="I40" s="301"/>
      <c r="J40" s="302">
        <v>711825.75029999879</v>
      </c>
      <c r="L40" s="301">
        <f t="shared" si="2"/>
        <v>0</v>
      </c>
      <c r="M40" s="301">
        <f t="shared" si="3"/>
        <v>99488.079999999842</v>
      </c>
    </row>
    <row r="41" spans="1:13" ht="14.25" x14ac:dyDescent="0.45">
      <c r="A41" s="295" t="s">
        <v>59</v>
      </c>
      <c r="B41" s="296">
        <v>1879544.0492999991</v>
      </c>
      <c r="C41" s="297">
        <v>103455.25924969997</v>
      </c>
      <c r="D41" s="298">
        <f t="shared" si="1"/>
        <v>1982999.3085496991</v>
      </c>
      <c r="F41" s="296">
        <v>1879544.0492999991</v>
      </c>
      <c r="G41" s="297">
        <v>103455.25924969997</v>
      </c>
      <c r="H41" s="300">
        <f t="shared" si="0"/>
        <v>1982999.3085496991</v>
      </c>
      <c r="I41" s="301"/>
      <c r="J41" s="302">
        <v>1982999.3085496991</v>
      </c>
      <c r="L41" s="301">
        <f t="shared" si="2"/>
        <v>0</v>
      </c>
      <c r="M41" s="301">
        <f t="shared" si="3"/>
        <v>0</v>
      </c>
    </row>
    <row r="42" spans="1:13" ht="14.25" x14ac:dyDescent="0.45">
      <c r="A42" s="295" t="s">
        <v>60</v>
      </c>
      <c r="B42" s="296">
        <v>24372.769999999877</v>
      </c>
      <c r="C42" s="297">
        <v>12306.24</v>
      </c>
      <c r="D42" s="298">
        <f t="shared" si="1"/>
        <v>36679.009999999878</v>
      </c>
      <c r="F42" s="296">
        <v>314519.33000000007</v>
      </c>
      <c r="G42" s="297">
        <v>12331.200000000003</v>
      </c>
      <c r="H42" s="300">
        <f t="shared" si="0"/>
        <v>326850.53000000009</v>
      </c>
      <c r="I42" s="301"/>
      <c r="J42" s="302">
        <v>326850.53000000009</v>
      </c>
      <c r="L42" s="301">
        <f t="shared" si="2"/>
        <v>0</v>
      </c>
      <c r="M42" s="301">
        <f t="shared" si="3"/>
        <v>290171.52000000019</v>
      </c>
    </row>
    <row r="43" spans="1:13" ht="14.25" x14ac:dyDescent="0.45">
      <c r="A43" s="295" t="s">
        <v>45</v>
      </c>
      <c r="B43" s="296">
        <v>296026.42219999951</v>
      </c>
      <c r="C43" s="297">
        <v>8880.7875999999906</v>
      </c>
      <c r="D43" s="298">
        <f t="shared" si="1"/>
        <v>304907.20979999949</v>
      </c>
      <c r="F43" s="296">
        <v>346127.96969999978</v>
      </c>
      <c r="G43" s="297">
        <v>10987.911</v>
      </c>
      <c r="H43" s="300">
        <f t="shared" si="0"/>
        <v>357115.88069999981</v>
      </c>
      <c r="I43" s="301"/>
      <c r="J43" s="302">
        <v>357115.88069999981</v>
      </c>
      <c r="L43" s="301">
        <f t="shared" si="2"/>
        <v>0</v>
      </c>
      <c r="M43" s="301">
        <f t="shared" si="3"/>
        <v>52208.670900000317</v>
      </c>
    </row>
    <row r="44" spans="1:13" ht="14.25" x14ac:dyDescent="0.45">
      <c r="A44" s="295" t="s">
        <v>32</v>
      </c>
      <c r="B44" s="296">
        <v>282758.43329999998</v>
      </c>
      <c r="C44" s="297">
        <v>9865.1395000000084</v>
      </c>
      <c r="D44" s="298">
        <f t="shared" si="1"/>
        <v>292623.57279999997</v>
      </c>
      <c r="F44" s="296">
        <v>282758.43329999998</v>
      </c>
      <c r="G44" s="297">
        <v>10652.639500000008</v>
      </c>
      <c r="H44" s="300">
        <f t="shared" si="0"/>
        <v>293411.07279999997</v>
      </c>
      <c r="I44" s="301"/>
      <c r="J44" s="302">
        <v>293411.07279999997</v>
      </c>
      <c r="L44" s="301">
        <f t="shared" si="2"/>
        <v>0</v>
      </c>
      <c r="M44" s="301">
        <f t="shared" si="3"/>
        <v>787.5</v>
      </c>
    </row>
    <row r="45" spans="1:13" ht="14.25" x14ac:dyDescent="0.45">
      <c r="A45" s="295" t="s">
        <v>46</v>
      </c>
      <c r="B45" s="296">
        <v>-185640.65559999971</v>
      </c>
      <c r="C45" s="297">
        <v>140.52420000000893</v>
      </c>
      <c r="D45" s="298">
        <f t="shared" si="1"/>
        <v>-185500.13139999969</v>
      </c>
      <c r="F45" s="296">
        <v>-536099.06559999986</v>
      </c>
      <c r="G45" s="297">
        <v>-9367.1957999999886</v>
      </c>
      <c r="H45" s="300">
        <f t="shared" si="0"/>
        <v>-545466.26139999984</v>
      </c>
      <c r="I45" s="301"/>
      <c r="J45" s="302">
        <v>-545466.26139999984</v>
      </c>
      <c r="L45" s="301">
        <f t="shared" si="2"/>
        <v>0</v>
      </c>
      <c r="M45" s="301">
        <f t="shared" si="3"/>
        <v>-359966.13000000012</v>
      </c>
    </row>
    <row r="46" spans="1:13" ht="14.25" x14ac:dyDescent="0.45">
      <c r="A46" s="295" t="s">
        <v>47</v>
      </c>
      <c r="B46" s="296">
        <v>-7452.6044999996202</v>
      </c>
      <c r="C46" s="297">
        <v>-9434.5636999999788</v>
      </c>
      <c r="D46" s="298">
        <f t="shared" si="1"/>
        <v>-16887.1681999996</v>
      </c>
      <c r="F46" s="296">
        <v>-7452.6044999996202</v>
      </c>
      <c r="G46" s="297">
        <v>-9434.5636999999788</v>
      </c>
      <c r="H46" s="300">
        <f t="shared" si="0"/>
        <v>-16887.1681999996</v>
      </c>
      <c r="I46" s="301"/>
      <c r="J46" s="302">
        <v>-16887.1681999996</v>
      </c>
      <c r="L46" s="301">
        <f t="shared" si="2"/>
        <v>0</v>
      </c>
      <c r="M46" s="301">
        <f t="shared" si="3"/>
        <v>0</v>
      </c>
    </row>
    <row r="47" spans="1:13" ht="14.25" x14ac:dyDescent="0.45">
      <c r="A47" s="295" t="s">
        <v>61</v>
      </c>
      <c r="B47" s="296">
        <v>1063634.6408800066</v>
      </c>
      <c r="C47" s="297">
        <v>94312.375080000027</v>
      </c>
      <c r="D47" s="298">
        <f t="shared" si="1"/>
        <v>1157947.0159600065</v>
      </c>
      <c r="F47" s="296">
        <v>1063634.4128800067</v>
      </c>
      <c r="G47" s="297">
        <v>94312.375080000027</v>
      </c>
      <c r="H47" s="300">
        <f t="shared" si="0"/>
        <v>1157946.7879600069</v>
      </c>
      <c r="I47" s="301"/>
      <c r="J47" s="302">
        <v>1157946.7879600069</v>
      </c>
      <c r="L47" s="301">
        <f t="shared" si="2"/>
        <v>0</v>
      </c>
      <c r="M47" s="301">
        <f t="shared" si="3"/>
        <v>-0.227999999653548</v>
      </c>
    </row>
    <row r="48" spans="1:13" ht="14.25" x14ac:dyDescent="0.45">
      <c r="A48" s="295" t="s">
        <v>33</v>
      </c>
      <c r="B48" s="296">
        <v>272515.68923999998</v>
      </c>
      <c r="C48" s="297">
        <v>28969.251840000008</v>
      </c>
      <c r="D48" s="298">
        <f t="shared" si="1"/>
        <v>301484.94107999996</v>
      </c>
      <c r="F48" s="296">
        <v>130493.62484000003</v>
      </c>
      <c r="G48" s="297">
        <v>8938.11384</v>
      </c>
      <c r="H48" s="300">
        <f t="shared" si="0"/>
        <v>139431.73868000004</v>
      </c>
      <c r="I48" s="301"/>
      <c r="J48" s="302">
        <v>139431.73868000004</v>
      </c>
      <c r="L48" s="301">
        <f t="shared" si="2"/>
        <v>0</v>
      </c>
      <c r="M48" s="301">
        <f t="shared" si="3"/>
        <v>-162053.20239999992</v>
      </c>
    </row>
    <row r="49" spans="1:14" ht="14.65" x14ac:dyDescent="0.45">
      <c r="A49" s="295" t="s">
        <v>534</v>
      </c>
      <c r="B49" s="296">
        <v>128636.09001000004</v>
      </c>
      <c r="C49" s="297">
        <v>0</v>
      </c>
      <c r="D49" s="298">
        <f t="shared" si="1"/>
        <v>128636.09001000004</v>
      </c>
      <c r="F49" s="296">
        <v>125540.09001000004</v>
      </c>
      <c r="G49" s="297">
        <v>0</v>
      </c>
      <c r="H49" s="300">
        <f t="shared" si="0"/>
        <v>125540.09001000004</v>
      </c>
      <c r="I49" s="301"/>
      <c r="J49" s="302">
        <v>125540.09001000004</v>
      </c>
      <c r="L49" s="301">
        <f t="shared" si="2"/>
        <v>0</v>
      </c>
      <c r="M49" s="301">
        <f t="shared" si="3"/>
        <v>-3096</v>
      </c>
    </row>
    <row r="50" spans="1:14" ht="14.25" x14ac:dyDescent="0.45">
      <c r="A50" s="295" t="s">
        <v>17</v>
      </c>
      <c r="B50" s="296">
        <v>12198.807000000008</v>
      </c>
      <c r="C50" s="297">
        <v>0</v>
      </c>
      <c r="D50" s="298">
        <f t="shared" si="1"/>
        <v>12198.807000000008</v>
      </c>
      <c r="F50" s="296">
        <v>9859.4070000000083</v>
      </c>
      <c r="G50" s="297">
        <v>0</v>
      </c>
      <c r="H50" s="300">
        <f t="shared" si="0"/>
        <v>9859.4070000000083</v>
      </c>
      <c r="I50" s="301"/>
      <c r="J50" s="302">
        <v>9859.4070000000083</v>
      </c>
      <c r="L50" s="301">
        <f t="shared" si="2"/>
        <v>0</v>
      </c>
      <c r="M50" s="301">
        <f t="shared" si="3"/>
        <v>-2339.3999999999996</v>
      </c>
    </row>
    <row r="51" spans="1:14" ht="14.65" x14ac:dyDescent="0.45">
      <c r="A51" s="295" t="s">
        <v>535</v>
      </c>
      <c r="B51" s="296">
        <v>36257.06035</v>
      </c>
      <c r="C51" s="297">
        <v>0</v>
      </c>
      <c r="D51" s="298">
        <f t="shared" si="1"/>
        <v>36257.06035</v>
      </c>
      <c r="F51" s="296">
        <v>36257.06035</v>
      </c>
      <c r="G51" s="297">
        <v>0</v>
      </c>
      <c r="H51" s="300">
        <f t="shared" si="0"/>
        <v>36257.06035</v>
      </c>
      <c r="I51" s="301"/>
      <c r="J51" s="302">
        <v>36257.06035</v>
      </c>
      <c r="L51" s="301">
        <f t="shared" si="2"/>
        <v>0</v>
      </c>
      <c r="M51" s="301">
        <f t="shared" si="3"/>
        <v>0</v>
      </c>
    </row>
    <row r="52" spans="1:14" ht="14.25" x14ac:dyDescent="0.45">
      <c r="A52" s="295" t="s">
        <v>48</v>
      </c>
      <c r="B52" s="296">
        <v>355625.82141999982</v>
      </c>
      <c r="C52" s="297">
        <v>4188</v>
      </c>
      <c r="D52" s="298">
        <f t="shared" si="1"/>
        <v>359813.82141999982</v>
      </c>
      <c r="F52" s="296">
        <v>274322.82141999982</v>
      </c>
      <c r="G52" s="297">
        <v>2070</v>
      </c>
      <c r="H52" s="300">
        <f t="shared" si="0"/>
        <v>276392.82141999982</v>
      </c>
      <c r="I52" s="301"/>
      <c r="J52" s="302">
        <v>276392.82141999982</v>
      </c>
      <c r="L52" s="301">
        <f t="shared" si="2"/>
        <v>0</v>
      </c>
      <c r="M52" s="301">
        <f t="shared" si="3"/>
        <v>-83421</v>
      </c>
    </row>
    <row r="53" spans="1:14" ht="14.25" x14ac:dyDescent="0.45">
      <c r="A53" s="295" t="s">
        <v>49</v>
      </c>
      <c r="B53" s="296">
        <v>417021.1860000001</v>
      </c>
      <c r="C53" s="297">
        <v>11795.526000000002</v>
      </c>
      <c r="D53" s="298">
        <f t="shared" si="1"/>
        <v>428816.71200000012</v>
      </c>
      <c r="F53" s="296">
        <v>417021.1860000001</v>
      </c>
      <c r="G53" s="297">
        <v>11795.526000000002</v>
      </c>
      <c r="H53" s="300">
        <f t="shared" si="0"/>
        <v>428816.71200000012</v>
      </c>
      <c r="I53" s="301"/>
      <c r="J53" s="302">
        <v>428816.71200000012</v>
      </c>
      <c r="L53" s="301">
        <f t="shared" si="2"/>
        <v>0</v>
      </c>
      <c r="M53" s="301">
        <f t="shared" si="3"/>
        <v>0</v>
      </c>
    </row>
    <row r="54" spans="1:14" ht="14.25" x14ac:dyDescent="0.45">
      <c r="A54" s="295" t="s">
        <v>50</v>
      </c>
      <c r="B54" s="296">
        <v>212165.40499999985</v>
      </c>
      <c r="C54" s="297">
        <v>2342.8777999999993</v>
      </c>
      <c r="D54" s="298">
        <f t="shared" si="1"/>
        <v>214508.28279999984</v>
      </c>
      <c r="F54" s="296">
        <v>221250.84499999983</v>
      </c>
      <c r="G54" s="297">
        <v>3023.5177999999983</v>
      </c>
      <c r="H54" s="300">
        <f t="shared" si="0"/>
        <v>224274.36279999983</v>
      </c>
      <c r="I54" s="301"/>
      <c r="J54" s="302">
        <v>224274.36279999983</v>
      </c>
      <c r="L54" s="301">
        <f t="shared" si="2"/>
        <v>0</v>
      </c>
      <c r="M54" s="301">
        <f t="shared" si="3"/>
        <v>9766.0799999999872</v>
      </c>
    </row>
    <row r="55" spans="1:14" ht="14.25" x14ac:dyDescent="0.45">
      <c r="A55" s="295" t="s">
        <v>36</v>
      </c>
      <c r="B55" s="296">
        <v>102896.06564999999</v>
      </c>
      <c r="C55" s="297">
        <v>3069.7910700000007</v>
      </c>
      <c r="D55" s="298">
        <f t="shared" si="1"/>
        <v>105965.85672</v>
      </c>
      <c r="F55" s="296">
        <v>118526.94564999998</v>
      </c>
      <c r="G55" s="297">
        <v>3069.0710699999995</v>
      </c>
      <c r="H55" s="300">
        <f t="shared" si="0"/>
        <v>121596.01671999999</v>
      </c>
      <c r="I55" s="301"/>
      <c r="J55" s="302">
        <v>121596.01671999999</v>
      </c>
      <c r="L55" s="301">
        <f t="shared" si="2"/>
        <v>0</v>
      </c>
      <c r="M55" s="301">
        <f t="shared" si="3"/>
        <v>15630.159999999989</v>
      </c>
    </row>
    <row r="56" spans="1:14" ht="14.25" x14ac:dyDescent="0.45">
      <c r="A56" s="295" t="s">
        <v>37</v>
      </c>
      <c r="B56" s="296">
        <v>58190.097600000023</v>
      </c>
      <c r="C56" s="297">
        <v>1010.0400000000009</v>
      </c>
      <c r="D56" s="298">
        <f t="shared" si="1"/>
        <v>59200.137600000024</v>
      </c>
      <c r="F56" s="296">
        <v>16973.577599999957</v>
      </c>
      <c r="G56" s="297">
        <v>-103.92000000000098</v>
      </c>
      <c r="H56" s="300">
        <f t="shared" si="0"/>
        <v>16869.657599999955</v>
      </c>
      <c r="I56" s="301"/>
      <c r="J56" s="302">
        <v>16869.657599999955</v>
      </c>
      <c r="L56" s="301">
        <f t="shared" si="2"/>
        <v>0</v>
      </c>
      <c r="M56" s="301">
        <f t="shared" si="3"/>
        <v>-42330.480000000069</v>
      </c>
    </row>
    <row r="57" spans="1:14" ht="14.25" x14ac:dyDescent="0.45">
      <c r="A57" s="295" t="s">
        <v>18</v>
      </c>
      <c r="B57" s="296">
        <v>21054.631310000004</v>
      </c>
      <c r="C57" s="297">
        <v>0</v>
      </c>
      <c r="D57" s="298">
        <f t="shared" si="1"/>
        <v>21054.631310000004</v>
      </c>
      <c r="F57" s="296">
        <v>21054.631310000004</v>
      </c>
      <c r="G57" s="297">
        <v>0</v>
      </c>
      <c r="H57" s="300">
        <f t="shared" si="0"/>
        <v>21054.631310000004</v>
      </c>
      <c r="I57" s="301"/>
      <c r="J57" s="302">
        <v>21054.631310000004</v>
      </c>
      <c r="L57" s="301">
        <f t="shared" si="2"/>
        <v>0</v>
      </c>
      <c r="M57" s="301">
        <f t="shared" si="3"/>
        <v>0</v>
      </c>
    </row>
    <row r="58" spans="1:14" ht="14.25" x14ac:dyDescent="0.45">
      <c r="A58" s="295" t="s">
        <v>51</v>
      </c>
      <c r="B58" s="296">
        <v>573588.20180000027</v>
      </c>
      <c r="C58" s="297">
        <v>11719.770400000005</v>
      </c>
      <c r="D58" s="298">
        <f t="shared" si="1"/>
        <v>585307.97220000031</v>
      </c>
      <c r="F58" s="296">
        <v>264571.9617999997</v>
      </c>
      <c r="G58" s="297">
        <v>6267.2463999999918</v>
      </c>
      <c r="H58" s="300">
        <f t="shared" si="0"/>
        <v>270839.2081999997</v>
      </c>
      <c r="I58" s="301"/>
      <c r="J58" s="302">
        <v>270839.2081999997</v>
      </c>
      <c r="L58" s="301">
        <f t="shared" si="2"/>
        <v>0</v>
      </c>
      <c r="M58" s="301">
        <f t="shared" si="3"/>
        <v>-314468.76400000061</v>
      </c>
    </row>
    <row r="59" spans="1:14" ht="14.25" x14ac:dyDescent="0.45">
      <c r="A59" s="295" t="s">
        <v>38</v>
      </c>
      <c r="B59" s="296">
        <v>51951.60925000003</v>
      </c>
      <c r="C59" s="297">
        <v>0</v>
      </c>
      <c r="D59" s="298">
        <f t="shared" si="1"/>
        <v>51951.60925000003</v>
      </c>
      <c r="F59" s="296">
        <v>51125.60925000003</v>
      </c>
      <c r="G59" s="297">
        <v>0</v>
      </c>
      <c r="H59" s="300">
        <f t="shared" si="0"/>
        <v>51125.60925000003</v>
      </c>
      <c r="I59" s="301"/>
      <c r="J59" s="302">
        <v>51125.60925000003</v>
      </c>
      <c r="L59" s="301">
        <f t="shared" si="2"/>
        <v>0</v>
      </c>
      <c r="M59" s="301">
        <f t="shared" si="3"/>
        <v>-826</v>
      </c>
    </row>
    <row r="60" spans="1:14" ht="14.25" x14ac:dyDescent="0.45">
      <c r="A60" s="295" t="s">
        <v>52</v>
      </c>
      <c r="B60" s="296">
        <v>-42435.22073000027</v>
      </c>
      <c r="C60" s="297">
        <v>-3920.599590000013</v>
      </c>
      <c r="D60" s="298">
        <f t="shared" si="1"/>
        <v>-46355.820320000283</v>
      </c>
      <c r="F60" s="296">
        <v>79259.619269999734</v>
      </c>
      <c r="G60" s="297">
        <v>-266.599590000013</v>
      </c>
      <c r="H60" s="300">
        <f t="shared" si="0"/>
        <v>78993.019679999721</v>
      </c>
      <c r="I60" s="301"/>
      <c r="J60" s="302">
        <v>78993.019679999721</v>
      </c>
      <c r="L60" s="301">
        <f t="shared" si="2"/>
        <v>0</v>
      </c>
      <c r="M60" s="301">
        <f t="shared" si="3"/>
        <v>125348.84</v>
      </c>
    </row>
    <row r="61" spans="1:14" ht="14.25" x14ac:dyDescent="0.45">
      <c r="A61" s="295" t="s">
        <v>39</v>
      </c>
      <c r="B61" s="296">
        <v>33911.272840000027</v>
      </c>
      <c r="C61" s="297">
        <v>1545.3977000000009</v>
      </c>
      <c r="D61" s="298">
        <f t="shared" si="1"/>
        <v>35456.670540000028</v>
      </c>
      <c r="F61" s="296">
        <v>38377.765840000073</v>
      </c>
      <c r="G61" s="297">
        <v>2496.757700000001</v>
      </c>
      <c r="H61" s="300">
        <f t="shared" si="0"/>
        <v>40874.523540000075</v>
      </c>
      <c r="I61" s="301"/>
      <c r="J61" s="302">
        <v>40874.523540000075</v>
      </c>
      <c r="L61" s="301">
        <f t="shared" si="2"/>
        <v>0</v>
      </c>
      <c r="M61" s="301">
        <f t="shared" si="3"/>
        <v>5417.8530000000464</v>
      </c>
    </row>
    <row r="62" spans="1:14" ht="14.25" x14ac:dyDescent="0.45">
      <c r="A62" s="295" t="s">
        <v>40</v>
      </c>
      <c r="B62" s="296">
        <v>86536.240490000026</v>
      </c>
      <c r="C62" s="297">
        <v>0</v>
      </c>
      <c r="D62" s="298">
        <f t="shared" si="1"/>
        <v>86536.240490000026</v>
      </c>
      <c r="F62" s="296">
        <v>36274.860490000014</v>
      </c>
      <c r="G62" s="297">
        <v>0</v>
      </c>
      <c r="H62" s="300">
        <f>F62+G62</f>
        <v>36274.860490000014</v>
      </c>
      <c r="I62" s="301"/>
      <c r="J62" s="302">
        <v>36274.860490000014</v>
      </c>
      <c r="L62" s="301">
        <f t="shared" si="2"/>
        <v>0</v>
      </c>
      <c r="M62" s="301">
        <f t="shared" si="3"/>
        <v>-50261.380000000012</v>
      </c>
    </row>
    <row r="63" spans="1:14" s="285" customFormat="1" x14ac:dyDescent="0.35">
      <c r="A63" s="303" t="s">
        <v>536</v>
      </c>
      <c r="B63" s="300">
        <f t="shared" ref="B63" si="4">SUM(B5:B62)</f>
        <v>6846924.3262750674</v>
      </c>
      <c r="C63" s="300">
        <f>SUM(C5:C62)</f>
        <v>219170.36907168722</v>
      </c>
      <c r="D63" s="300">
        <f>SUM(D5:D62)</f>
        <v>7066094.695346755</v>
      </c>
      <c r="E63" s="304"/>
      <c r="F63" s="323">
        <f>SUM(F5:F62)</f>
        <v>4787750.9750585835</v>
      </c>
      <c r="G63" s="300">
        <f>SUM(G5:G62)</f>
        <v>173566.09047168717</v>
      </c>
      <c r="H63" s="300">
        <f>SUM(H5:H62)</f>
        <v>4961317.0655302703</v>
      </c>
      <c r="I63" s="301"/>
      <c r="L63" s="301"/>
      <c r="M63" s="305">
        <f>SUM(M5:M62)</f>
        <v>-2104777.6298164828</v>
      </c>
      <c r="N63" s="305">
        <f>M63+D63</f>
        <v>4961317.0655302722</v>
      </c>
    </row>
    <row r="64" spans="1:14" s="285" customFormat="1" ht="11.25" hidden="1" x14ac:dyDescent="0.3">
      <c r="A64" s="306"/>
      <c r="B64" s="307"/>
      <c r="C64" s="307"/>
      <c r="D64" s="307"/>
      <c r="E64" s="304"/>
      <c r="F64" s="307"/>
      <c r="G64" s="307"/>
      <c r="H64" s="305"/>
    </row>
    <row r="65" spans="1:8" ht="16.350000000000001" customHeight="1" x14ac:dyDescent="0.35">
      <c r="A65" s="308"/>
      <c r="B65" s="309"/>
      <c r="C65" s="309"/>
      <c r="D65" s="309"/>
      <c r="E65" s="309"/>
      <c r="F65" s="309"/>
      <c r="G65" s="310"/>
      <c r="H65" s="311"/>
    </row>
    <row r="66" spans="1:8" x14ac:dyDescent="0.35">
      <c r="A66" s="312"/>
      <c r="B66" s="313"/>
      <c r="C66" s="313"/>
      <c r="D66" s="313"/>
      <c r="E66" s="309"/>
      <c r="F66" s="314"/>
      <c r="G66" s="311"/>
      <c r="H66" s="311"/>
    </row>
    <row r="67" spans="1:8" x14ac:dyDescent="0.35">
      <c r="A67" s="312"/>
      <c r="B67" s="313"/>
      <c r="C67" s="313"/>
      <c r="D67" s="313"/>
      <c r="E67" s="309"/>
      <c r="F67" s="314"/>
      <c r="G67" s="311"/>
      <c r="H67" s="311"/>
    </row>
    <row r="68" spans="1:8" x14ac:dyDescent="0.35">
      <c r="A68" s="312"/>
      <c r="B68" s="315"/>
      <c r="C68" s="315"/>
      <c r="D68" s="315"/>
      <c r="E68" s="316"/>
      <c r="F68" s="317"/>
      <c r="G68" s="318"/>
      <c r="H68" s="318"/>
    </row>
    <row r="69" spans="1:8" x14ac:dyDescent="0.35">
      <c r="A69" s="294"/>
      <c r="B69" s="294"/>
      <c r="C69" s="294"/>
      <c r="D69" s="294"/>
      <c r="E69" s="319"/>
      <c r="F69" s="294"/>
      <c r="G69" s="294"/>
      <c r="H69" s="294"/>
    </row>
    <row r="70" spans="1:8" x14ac:dyDescent="0.35">
      <c r="A70" s="320"/>
      <c r="B70" s="321"/>
      <c r="C70" s="321"/>
      <c r="D70" s="321"/>
      <c r="E70" s="322"/>
      <c r="F70" s="321"/>
      <c r="G70" s="321"/>
      <c r="H70" s="321"/>
    </row>
  </sheetData>
  <mergeCells count="4">
    <mergeCell ref="A1:H1"/>
    <mergeCell ref="A2:A4"/>
    <mergeCell ref="B2:D2"/>
    <mergeCell ref="F2:H2"/>
  </mergeCells>
  <printOptions horizontalCentered="1"/>
  <pageMargins left="0.25" right="0.25" top="0.4" bottom="0.25" header="0.25" footer="0.5"/>
  <pageSetup scale="76" orientation="portrait" r:id="rId1"/>
  <headerFooter>
    <oddHeader>&amp;C
&amp;R&amp;"Arial,Bold"&amp;10Attachment D</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68"/>
  <sheetViews>
    <sheetView zoomScaleNormal="100" workbookViewId="0">
      <selection activeCell="H39" sqref="H39"/>
    </sheetView>
  </sheetViews>
  <sheetFormatPr defaultColWidth="8.86328125" defaultRowHeight="13.15" x14ac:dyDescent="0.4"/>
  <cols>
    <col min="1" max="1" width="17.1328125" style="361" customWidth="1"/>
    <col min="2" max="2" width="9.1328125" style="361" hidden="1" customWidth="1"/>
    <col min="3" max="3" width="11.3984375" style="361" hidden="1" customWidth="1"/>
    <col min="4" max="6" width="21.86328125" style="324" customWidth="1"/>
    <col min="7" max="8" width="9.86328125" style="324" customWidth="1"/>
    <col min="9" max="9" width="9.3984375" style="324" customWidth="1"/>
    <col min="10" max="16384" width="8.86328125" style="324"/>
  </cols>
  <sheetData>
    <row r="3" spans="1:8" ht="35.25" customHeight="1" x14ac:dyDescent="0.4">
      <c r="A3" s="435" t="s">
        <v>556</v>
      </c>
      <c r="B3" s="435"/>
      <c r="C3" s="435"/>
      <c r="D3" s="435"/>
      <c r="E3" s="435"/>
      <c r="F3" s="435"/>
    </row>
    <row r="4" spans="1:8" ht="30" customHeight="1" x14ac:dyDescent="0.4">
      <c r="A4" s="436" t="s">
        <v>538</v>
      </c>
      <c r="B4" s="436"/>
      <c r="C4" s="436"/>
      <c r="D4" s="436"/>
      <c r="E4" s="436"/>
      <c r="F4" s="436"/>
    </row>
    <row r="5" spans="1:8" ht="25.9" x14ac:dyDescent="0.4">
      <c r="A5" s="325" t="s">
        <v>524</v>
      </c>
      <c r="B5" s="326" t="s">
        <v>539</v>
      </c>
      <c r="C5" s="327" t="s">
        <v>540</v>
      </c>
      <c r="D5" s="328" t="s">
        <v>541</v>
      </c>
      <c r="E5" s="328" t="s">
        <v>542</v>
      </c>
      <c r="F5" s="328" t="s">
        <v>543</v>
      </c>
    </row>
    <row r="6" spans="1:8" x14ac:dyDescent="0.4">
      <c r="A6" s="329"/>
      <c r="B6" s="330"/>
      <c r="C6" s="331"/>
      <c r="D6" s="332" t="s">
        <v>544</v>
      </c>
      <c r="E6" s="332" t="s">
        <v>545</v>
      </c>
      <c r="F6" s="333" t="s">
        <v>546</v>
      </c>
    </row>
    <row r="7" spans="1:8" x14ac:dyDescent="0.4">
      <c r="A7" s="334" t="s">
        <v>53</v>
      </c>
      <c r="B7" s="335">
        <v>680</v>
      </c>
      <c r="C7" s="335">
        <v>552</v>
      </c>
      <c r="D7" s="336">
        <v>1232</v>
      </c>
      <c r="E7" s="337">
        <f>D7/$D$65</f>
        <v>2.7394620396243619E-2</v>
      </c>
      <c r="F7" s="338">
        <f>E7*$F$65</f>
        <v>252660.58391455494</v>
      </c>
      <c r="G7" s="339"/>
      <c r="H7" s="340"/>
    </row>
    <row r="8" spans="1:8" ht="15.4" x14ac:dyDescent="0.4">
      <c r="A8" s="341" t="s">
        <v>547</v>
      </c>
      <c r="B8" s="342">
        <v>1.3333333333333333</v>
      </c>
      <c r="C8" s="343">
        <v>0</v>
      </c>
      <c r="D8" s="344">
        <v>1.3333333333333333</v>
      </c>
      <c r="E8" s="345">
        <f t="shared" ref="E8:E64" si="0">D8/$D$65</f>
        <v>2.9647857571692227E-5</v>
      </c>
      <c r="F8" s="346">
        <f t="shared" ref="F8:F64" si="1">E8*$F$65</f>
        <v>273.44219038371745</v>
      </c>
    </row>
    <row r="9" spans="1:8" x14ac:dyDescent="0.4">
      <c r="A9" s="334" t="s">
        <v>5</v>
      </c>
      <c r="B9" s="347">
        <v>24</v>
      </c>
      <c r="C9" s="348">
        <v>4</v>
      </c>
      <c r="D9" s="349">
        <v>28</v>
      </c>
      <c r="E9" s="350">
        <f t="shared" si="0"/>
        <v>6.226050090055368E-4</v>
      </c>
      <c r="F9" s="351">
        <f t="shared" si="1"/>
        <v>5742.285998058067</v>
      </c>
    </row>
    <row r="10" spans="1:8" x14ac:dyDescent="0.4">
      <c r="A10" s="341" t="s">
        <v>19</v>
      </c>
      <c r="B10" s="342">
        <v>274</v>
      </c>
      <c r="C10" s="343">
        <v>149</v>
      </c>
      <c r="D10" s="344">
        <v>423</v>
      </c>
      <c r="E10" s="345">
        <f t="shared" si="0"/>
        <v>9.4057828146193595E-3</v>
      </c>
      <c r="F10" s="346">
        <f t="shared" si="1"/>
        <v>86749.534899234364</v>
      </c>
    </row>
    <row r="11" spans="1:8" x14ac:dyDescent="0.4">
      <c r="A11" s="334" t="s">
        <v>6</v>
      </c>
      <c r="B11" s="347">
        <v>7</v>
      </c>
      <c r="C11" s="348">
        <v>1</v>
      </c>
      <c r="D11" s="349">
        <v>8</v>
      </c>
      <c r="E11" s="350">
        <f t="shared" si="0"/>
        <v>1.7788714543015338E-4</v>
      </c>
      <c r="F11" s="351">
        <f t="shared" si="1"/>
        <v>1640.653142302305</v>
      </c>
    </row>
    <row r="12" spans="1:8" x14ac:dyDescent="0.4">
      <c r="A12" s="341" t="s">
        <v>7</v>
      </c>
      <c r="B12" s="342">
        <v>14</v>
      </c>
      <c r="C12" s="343">
        <v>4</v>
      </c>
      <c r="D12" s="344">
        <v>18</v>
      </c>
      <c r="E12" s="345">
        <f t="shared" si="0"/>
        <v>4.0024607721784506E-4</v>
      </c>
      <c r="F12" s="346">
        <f t="shared" si="1"/>
        <v>3691.4695701801857</v>
      </c>
    </row>
    <row r="13" spans="1:8" x14ac:dyDescent="0.4">
      <c r="A13" s="334" t="s">
        <v>41</v>
      </c>
      <c r="B13" s="347">
        <v>407</v>
      </c>
      <c r="C13" s="348">
        <v>160</v>
      </c>
      <c r="D13" s="349">
        <v>567</v>
      </c>
      <c r="E13" s="350">
        <f t="shared" si="0"/>
        <v>1.260775143236212E-2</v>
      </c>
      <c r="F13" s="351">
        <f t="shared" si="1"/>
        <v>116281.29146067586</v>
      </c>
    </row>
    <row r="14" spans="1:8" x14ac:dyDescent="0.4">
      <c r="A14" s="341" t="s">
        <v>8</v>
      </c>
      <c r="B14" s="342">
        <v>28</v>
      </c>
      <c r="C14" s="343">
        <v>14</v>
      </c>
      <c r="D14" s="344">
        <v>42</v>
      </c>
      <c r="E14" s="345">
        <f t="shared" si="0"/>
        <v>9.339075135083052E-4</v>
      </c>
      <c r="F14" s="346">
        <f t="shared" si="1"/>
        <v>8613.4289970871014</v>
      </c>
    </row>
    <row r="15" spans="1:8" x14ac:dyDescent="0.4">
      <c r="A15" s="334" t="s">
        <v>20</v>
      </c>
      <c r="B15" s="347">
        <v>69</v>
      </c>
      <c r="C15" s="348">
        <v>147</v>
      </c>
      <c r="D15" s="349">
        <v>216</v>
      </c>
      <c r="E15" s="350">
        <f t="shared" si="0"/>
        <v>4.8029529266141414E-3</v>
      </c>
      <c r="F15" s="351">
        <f t="shared" si="1"/>
        <v>44297.634842162239</v>
      </c>
    </row>
    <row r="16" spans="1:8" x14ac:dyDescent="0.4">
      <c r="A16" s="341" t="s">
        <v>42</v>
      </c>
      <c r="B16" s="342">
        <v>1522</v>
      </c>
      <c r="C16" s="343">
        <v>451</v>
      </c>
      <c r="D16" s="344">
        <v>1973</v>
      </c>
      <c r="E16" s="345">
        <f t="shared" si="0"/>
        <v>4.3871417241711577E-2</v>
      </c>
      <c r="F16" s="346">
        <f t="shared" si="1"/>
        <v>404626.08122030593</v>
      </c>
    </row>
    <row r="17" spans="1:10" x14ac:dyDescent="0.4">
      <c r="A17" s="334" t="s">
        <v>9</v>
      </c>
      <c r="B17" s="347">
        <v>8</v>
      </c>
      <c r="C17" s="348">
        <v>3</v>
      </c>
      <c r="D17" s="349">
        <v>11</v>
      </c>
      <c r="E17" s="350">
        <f t="shared" si="0"/>
        <v>2.4459482496646086E-4</v>
      </c>
      <c r="F17" s="351">
        <f t="shared" si="1"/>
        <v>2255.8980706656689</v>
      </c>
    </row>
    <row r="18" spans="1:10" x14ac:dyDescent="0.4">
      <c r="A18" s="341" t="s">
        <v>21</v>
      </c>
      <c r="B18" s="342">
        <v>222</v>
      </c>
      <c r="C18" s="343">
        <v>27</v>
      </c>
      <c r="D18" s="344">
        <v>249</v>
      </c>
      <c r="E18" s="345">
        <f t="shared" si="0"/>
        <v>5.5367374015135237E-3</v>
      </c>
      <c r="F18" s="346">
        <f t="shared" si="1"/>
        <v>51065.329054159243</v>
      </c>
    </row>
    <row r="19" spans="1:10" x14ac:dyDescent="0.4">
      <c r="A19" s="334" t="s">
        <v>22</v>
      </c>
      <c r="B19" s="347">
        <v>145</v>
      </c>
      <c r="C19" s="348">
        <v>56</v>
      </c>
      <c r="D19" s="349">
        <v>201</v>
      </c>
      <c r="E19" s="350">
        <f t="shared" si="0"/>
        <v>4.4694145289326031E-3</v>
      </c>
      <c r="F19" s="351">
        <f t="shared" si="1"/>
        <v>41221.41020034541</v>
      </c>
    </row>
    <row r="20" spans="1:10" x14ac:dyDescent="0.4">
      <c r="A20" s="341" t="s">
        <v>10</v>
      </c>
      <c r="B20" s="342">
        <v>29</v>
      </c>
      <c r="C20" s="343">
        <v>0</v>
      </c>
      <c r="D20" s="344">
        <v>29</v>
      </c>
      <c r="E20" s="345">
        <f t="shared" si="0"/>
        <v>6.4484090218430593E-4</v>
      </c>
      <c r="F20" s="346">
        <f t="shared" si="1"/>
        <v>5947.367640845855</v>
      </c>
    </row>
    <row r="21" spans="1:10" x14ac:dyDescent="0.4">
      <c r="A21" s="334" t="s">
        <v>43</v>
      </c>
      <c r="B21" s="347">
        <v>1294</v>
      </c>
      <c r="C21" s="348">
        <v>340</v>
      </c>
      <c r="D21" s="349">
        <v>1634</v>
      </c>
      <c r="E21" s="350">
        <f t="shared" si="0"/>
        <v>3.6333449454108824E-2</v>
      </c>
      <c r="F21" s="351">
        <f t="shared" si="1"/>
        <v>335103.40431524575</v>
      </c>
    </row>
    <row r="22" spans="1:10" x14ac:dyDescent="0.4">
      <c r="A22" s="341" t="s">
        <v>23</v>
      </c>
      <c r="B22" s="342">
        <v>99</v>
      </c>
      <c r="C22" s="343">
        <v>200</v>
      </c>
      <c r="D22" s="344">
        <v>299</v>
      </c>
      <c r="E22" s="345">
        <f t="shared" si="0"/>
        <v>6.6485320604519824E-3</v>
      </c>
      <c r="F22" s="346">
        <f t="shared" si="1"/>
        <v>61319.411193548643</v>
      </c>
    </row>
    <row r="23" spans="1:10" x14ac:dyDescent="0.4">
      <c r="A23" s="334" t="s">
        <v>24</v>
      </c>
      <c r="B23" s="347">
        <v>51</v>
      </c>
      <c r="C23" s="348">
        <v>10</v>
      </c>
      <c r="D23" s="349">
        <v>61</v>
      </c>
      <c r="E23" s="350">
        <f t="shared" si="0"/>
        <v>1.3563894839049196E-3</v>
      </c>
      <c r="F23" s="351">
        <f t="shared" si="1"/>
        <v>12509.980210055075</v>
      </c>
    </row>
    <row r="24" spans="1:10" x14ac:dyDescent="0.4">
      <c r="A24" s="341" t="s">
        <v>11</v>
      </c>
      <c r="B24" s="342">
        <v>30</v>
      </c>
      <c r="C24" s="343">
        <v>3</v>
      </c>
      <c r="D24" s="344">
        <v>33</v>
      </c>
      <c r="E24" s="345">
        <f t="shared" si="0"/>
        <v>7.3378447489938264E-4</v>
      </c>
      <c r="F24" s="346">
        <f t="shared" si="1"/>
        <v>6767.6942119970072</v>
      </c>
    </row>
    <row r="25" spans="1:10" x14ac:dyDescent="0.4">
      <c r="A25" s="334" t="s">
        <v>54</v>
      </c>
      <c r="B25" s="347">
        <v>6625</v>
      </c>
      <c r="C25" s="348">
        <v>8630</v>
      </c>
      <c r="D25" s="349">
        <v>15255</v>
      </c>
      <c r="E25" s="350">
        <f t="shared" si="0"/>
        <v>0.33920855044212372</v>
      </c>
      <c r="F25" s="351">
        <f t="shared" si="1"/>
        <v>3128520.4607277079</v>
      </c>
    </row>
    <row r="26" spans="1:10" x14ac:dyDescent="0.4">
      <c r="A26" s="341" t="s">
        <v>25</v>
      </c>
      <c r="B26" s="342">
        <v>163</v>
      </c>
      <c r="C26" s="343">
        <v>51</v>
      </c>
      <c r="D26" s="344">
        <v>214</v>
      </c>
      <c r="E26" s="345">
        <f t="shared" si="0"/>
        <v>4.7584811402566025E-3</v>
      </c>
      <c r="F26" s="346">
        <f t="shared" si="1"/>
        <v>43887.471556586657</v>
      </c>
    </row>
    <row r="27" spans="1:10" x14ac:dyDescent="0.4">
      <c r="A27" s="334" t="s">
        <v>26</v>
      </c>
      <c r="B27" s="347">
        <v>44</v>
      </c>
      <c r="C27" s="348">
        <v>41</v>
      </c>
      <c r="D27" s="349">
        <v>85</v>
      </c>
      <c r="E27" s="350">
        <f t="shared" si="0"/>
        <v>1.8900509201953796E-3</v>
      </c>
      <c r="F27" s="351">
        <f t="shared" si="1"/>
        <v>17431.93963696199</v>
      </c>
    </row>
    <row r="28" spans="1:10" x14ac:dyDescent="0.4">
      <c r="A28" s="341" t="s">
        <v>12</v>
      </c>
      <c r="B28" s="342">
        <v>20</v>
      </c>
      <c r="C28" s="343">
        <v>2</v>
      </c>
      <c r="D28" s="344">
        <v>22</v>
      </c>
      <c r="E28" s="345">
        <f t="shared" si="0"/>
        <v>4.8918964993292173E-4</v>
      </c>
      <c r="F28" s="346">
        <f t="shared" si="1"/>
        <v>4511.7961413313378</v>
      </c>
    </row>
    <row r="29" spans="1:10" x14ac:dyDescent="0.4">
      <c r="A29" s="334" t="s">
        <v>27</v>
      </c>
      <c r="B29" s="347">
        <v>118</v>
      </c>
      <c r="C29" s="348">
        <v>76</v>
      </c>
      <c r="D29" s="349">
        <v>194</v>
      </c>
      <c r="E29" s="350">
        <f t="shared" si="0"/>
        <v>4.3137632766812196E-3</v>
      </c>
      <c r="F29" s="351">
        <f t="shared" si="1"/>
        <v>39785.838700830893</v>
      </c>
    </row>
    <row r="30" spans="1:10" x14ac:dyDescent="0.4">
      <c r="A30" s="341" t="s">
        <v>28</v>
      </c>
      <c r="B30" s="342">
        <v>362</v>
      </c>
      <c r="C30" s="343">
        <v>151</v>
      </c>
      <c r="D30" s="344">
        <v>513</v>
      </c>
      <c r="E30" s="345">
        <f t="shared" si="0"/>
        <v>1.1407013200708586E-2</v>
      </c>
      <c r="F30" s="346">
        <f t="shared" si="1"/>
        <v>105206.88275013531</v>
      </c>
    </row>
    <row r="31" spans="1:10" x14ac:dyDescent="0.4">
      <c r="A31" s="334" t="s">
        <v>13</v>
      </c>
      <c r="B31" s="347">
        <v>6</v>
      </c>
      <c r="C31" s="348">
        <v>6</v>
      </c>
      <c r="D31" s="349">
        <v>12</v>
      </c>
      <c r="E31" s="350">
        <f t="shared" si="0"/>
        <v>2.6683071814523004E-4</v>
      </c>
      <c r="F31" s="351">
        <f t="shared" si="1"/>
        <v>2460.979713453457</v>
      </c>
    </row>
    <row r="32" spans="1:10" ht="14.25" x14ac:dyDescent="0.45">
      <c r="A32" s="341" t="s">
        <v>14</v>
      </c>
      <c r="B32" s="342">
        <v>8</v>
      </c>
      <c r="C32" s="343">
        <v>5</v>
      </c>
      <c r="D32" s="344">
        <v>13</v>
      </c>
      <c r="E32" s="345">
        <f t="shared" si="0"/>
        <v>2.8906661132399922E-4</v>
      </c>
      <c r="F32" s="346">
        <f t="shared" si="1"/>
        <v>2666.0613562412454</v>
      </c>
      <c r="J32" s="169"/>
    </row>
    <row r="33" spans="1:6" x14ac:dyDescent="0.4">
      <c r="A33" s="334" t="s">
        <v>44</v>
      </c>
      <c r="B33" s="347">
        <v>75</v>
      </c>
      <c r="C33" s="348">
        <v>97</v>
      </c>
      <c r="D33" s="349">
        <v>172</v>
      </c>
      <c r="E33" s="350">
        <f t="shared" si="0"/>
        <v>3.8245736267482973E-3</v>
      </c>
      <c r="F33" s="351">
        <f t="shared" si="1"/>
        <v>35274.042559499554</v>
      </c>
    </row>
    <row r="34" spans="1:6" x14ac:dyDescent="0.4">
      <c r="A34" s="341" t="s">
        <v>29</v>
      </c>
      <c r="B34" s="342">
        <v>54</v>
      </c>
      <c r="C34" s="343">
        <v>22</v>
      </c>
      <c r="D34" s="344">
        <v>76</v>
      </c>
      <c r="E34" s="345">
        <f t="shared" si="0"/>
        <v>1.689927881586457E-3</v>
      </c>
      <c r="F34" s="346">
        <f t="shared" si="1"/>
        <v>15586.204851871897</v>
      </c>
    </row>
    <row r="35" spans="1:6" x14ac:dyDescent="0.4">
      <c r="A35" s="334" t="s">
        <v>30</v>
      </c>
      <c r="B35" s="347">
        <v>10</v>
      </c>
      <c r="C35" s="348">
        <v>2</v>
      </c>
      <c r="D35" s="349">
        <v>12</v>
      </c>
      <c r="E35" s="350">
        <f t="shared" si="0"/>
        <v>2.6683071814523004E-4</v>
      </c>
      <c r="F35" s="351">
        <f t="shared" si="1"/>
        <v>2460.979713453457</v>
      </c>
    </row>
    <row r="36" spans="1:6" x14ac:dyDescent="0.4">
      <c r="A36" s="341" t="s">
        <v>55</v>
      </c>
      <c r="B36" s="342">
        <v>1243</v>
      </c>
      <c r="C36" s="343">
        <v>632</v>
      </c>
      <c r="D36" s="344">
        <v>1875</v>
      </c>
      <c r="E36" s="345">
        <f t="shared" si="0"/>
        <v>4.1692299710192199E-2</v>
      </c>
      <c r="F36" s="346">
        <f t="shared" si="1"/>
        <v>384528.08022710274</v>
      </c>
    </row>
    <row r="37" spans="1:6" x14ac:dyDescent="0.4">
      <c r="A37" s="334" t="s">
        <v>31</v>
      </c>
      <c r="B37" s="347">
        <v>161</v>
      </c>
      <c r="C37" s="348">
        <v>56</v>
      </c>
      <c r="D37" s="349">
        <v>217</v>
      </c>
      <c r="E37" s="350">
        <f t="shared" si="0"/>
        <v>4.82518881979291E-3</v>
      </c>
      <c r="F37" s="351">
        <f t="shared" si="1"/>
        <v>44502.716484950019</v>
      </c>
    </row>
    <row r="38" spans="1:6" ht="15.4" x14ac:dyDescent="0.4">
      <c r="A38" s="341" t="s">
        <v>548</v>
      </c>
      <c r="B38" s="342">
        <v>6</v>
      </c>
      <c r="C38" s="343">
        <v>0</v>
      </c>
      <c r="D38" s="344">
        <v>6</v>
      </c>
      <c r="E38" s="345">
        <f t="shared" si="0"/>
        <v>1.3341535907261502E-4</v>
      </c>
      <c r="F38" s="346">
        <f t="shared" si="1"/>
        <v>1230.4898567267285</v>
      </c>
    </row>
    <row r="39" spans="1:6" x14ac:dyDescent="0.4">
      <c r="A39" s="334" t="s">
        <v>56</v>
      </c>
      <c r="B39" s="347">
        <v>1957</v>
      </c>
      <c r="C39" s="348">
        <v>2505</v>
      </c>
      <c r="D39" s="349">
        <v>4462</v>
      </c>
      <c r="E39" s="350">
        <f t="shared" si="0"/>
        <v>9.9216555363668038E-2</v>
      </c>
      <c r="F39" s="351">
        <f t="shared" si="1"/>
        <v>915074.29011911049</v>
      </c>
    </row>
    <row r="40" spans="1:6" x14ac:dyDescent="0.4">
      <c r="A40" s="341" t="s">
        <v>57</v>
      </c>
      <c r="B40" s="342">
        <v>251</v>
      </c>
      <c r="C40" s="343">
        <v>449</v>
      </c>
      <c r="D40" s="344">
        <v>700</v>
      </c>
      <c r="E40" s="345">
        <f t="shared" si="0"/>
        <v>1.5565125225138421E-2</v>
      </c>
      <c r="F40" s="346">
        <f t="shared" si="1"/>
        <v>143557.14995145169</v>
      </c>
    </row>
    <row r="41" spans="1:6" x14ac:dyDescent="0.4">
      <c r="A41" s="334" t="s">
        <v>16</v>
      </c>
      <c r="B41" s="347">
        <v>30</v>
      </c>
      <c r="C41" s="348">
        <v>13</v>
      </c>
      <c r="D41" s="349">
        <v>43</v>
      </c>
      <c r="E41" s="350">
        <f t="shared" si="0"/>
        <v>9.5614340668707433E-4</v>
      </c>
      <c r="F41" s="351">
        <f t="shared" si="1"/>
        <v>8818.5106398748885</v>
      </c>
    </row>
    <row r="42" spans="1:6" x14ac:dyDescent="0.4">
      <c r="A42" s="341" t="s">
        <v>58</v>
      </c>
      <c r="B42" s="342">
        <v>2035</v>
      </c>
      <c r="C42" s="343">
        <v>2430</v>
      </c>
      <c r="D42" s="344">
        <v>4465</v>
      </c>
      <c r="E42" s="345">
        <f t="shared" si="0"/>
        <v>9.9283263043204353E-2</v>
      </c>
      <c r="F42" s="346">
        <f t="shared" si="1"/>
        <v>915689.53504747397</v>
      </c>
    </row>
    <row r="43" spans="1:6" x14ac:dyDescent="0.4">
      <c r="A43" s="334" t="s">
        <v>59</v>
      </c>
      <c r="B43" s="347">
        <v>1575</v>
      </c>
      <c r="C43" s="348">
        <v>1003</v>
      </c>
      <c r="D43" s="349">
        <v>2418</v>
      </c>
      <c r="E43" s="350">
        <f t="shared" si="0"/>
        <v>5.3766389706263858E-2</v>
      </c>
      <c r="F43" s="351">
        <f t="shared" si="1"/>
        <v>495887.41226087167</v>
      </c>
    </row>
    <row r="44" spans="1:6" x14ac:dyDescent="0.4">
      <c r="A44" s="341" t="s">
        <v>60</v>
      </c>
      <c r="B44" s="342">
        <v>150</v>
      </c>
      <c r="C44" s="343">
        <v>71</v>
      </c>
      <c r="D44" s="344">
        <v>221</v>
      </c>
      <c r="E44" s="345">
        <f t="shared" si="0"/>
        <v>4.9141323925079869E-3</v>
      </c>
      <c r="F44" s="346">
        <f t="shared" si="1"/>
        <v>45323.043056101174</v>
      </c>
    </row>
    <row r="45" spans="1:6" x14ac:dyDescent="0.4">
      <c r="A45" s="334" t="s">
        <v>45</v>
      </c>
      <c r="B45" s="347">
        <v>548</v>
      </c>
      <c r="C45" s="348">
        <v>130</v>
      </c>
      <c r="D45" s="349">
        <v>678</v>
      </c>
      <c r="E45" s="350">
        <f t="shared" si="0"/>
        <v>1.5075935575205498E-2</v>
      </c>
      <c r="F45" s="351">
        <f t="shared" si="1"/>
        <v>139045.35381012034</v>
      </c>
    </row>
    <row r="46" spans="1:6" x14ac:dyDescent="0.4">
      <c r="A46" s="341" t="s">
        <v>32</v>
      </c>
      <c r="B46" s="342">
        <v>174</v>
      </c>
      <c r="C46" s="343">
        <v>171</v>
      </c>
      <c r="D46" s="344">
        <v>345</v>
      </c>
      <c r="E46" s="345">
        <f t="shared" si="0"/>
        <v>7.6713831466753641E-3</v>
      </c>
      <c r="F46" s="346">
        <f t="shared" si="1"/>
        <v>70753.166761786895</v>
      </c>
    </row>
    <row r="47" spans="1:6" x14ac:dyDescent="0.4">
      <c r="A47" s="334" t="s">
        <v>46</v>
      </c>
      <c r="B47" s="347">
        <v>103</v>
      </c>
      <c r="C47" s="348">
        <v>105</v>
      </c>
      <c r="D47" s="349">
        <v>208</v>
      </c>
      <c r="E47" s="350">
        <f t="shared" si="0"/>
        <v>4.6250657811839875E-3</v>
      </c>
      <c r="F47" s="351">
        <f t="shared" si="1"/>
        <v>42656.981699859927</v>
      </c>
    </row>
    <row r="48" spans="1:6" x14ac:dyDescent="0.4">
      <c r="A48" s="341" t="s">
        <v>47</v>
      </c>
      <c r="B48" s="342">
        <v>252</v>
      </c>
      <c r="C48" s="343">
        <v>110</v>
      </c>
      <c r="D48" s="344">
        <v>362</v>
      </c>
      <c r="E48" s="345">
        <f t="shared" si="0"/>
        <v>8.0493933307144404E-3</v>
      </c>
      <c r="F48" s="346">
        <f t="shared" si="1"/>
        <v>74239.554689179306</v>
      </c>
    </row>
    <row r="49" spans="1:6" x14ac:dyDescent="0.4">
      <c r="A49" s="334" t="s">
        <v>61</v>
      </c>
      <c r="B49" s="347">
        <v>538</v>
      </c>
      <c r="C49" s="348">
        <v>156</v>
      </c>
      <c r="D49" s="349">
        <v>694</v>
      </c>
      <c r="E49" s="350">
        <f t="shared" si="0"/>
        <v>1.5431709866065806E-2</v>
      </c>
      <c r="F49" s="351">
        <f t="shared" si="1"/>
        <v>142326.66009472497</v>
      </c>
    </row>
    <row r="50" spans="1:6" x14ac:dyDescent="0.4">
      <c r="A50" s="341" t="s">
        <v>33</v>
      </c>
      <c r="B50" s="342">
        <v>35</v>
      </c>
      <c r="C50" s="343">
        <v>4</v>
      </c>
      <c r="D50" s="344">
        <v>39</v>
      </c>
      <c r="E50" s="345">
        <f t="shared" si="0"/>
        <v>8.6719983397199772E-4</v>
      </c>
      <c r="F50" s="346">
        <f t="shared" si="1"/>
        <v>7998.1840687237363</v>
      </c>
    </row>
    <row r="51" spans="1:6" x14ac:dyDescent="0.4">
      <c r="A51" s="334" t="s">
        <v>34</v>
      </c>
      <c r="B51" s="347">
        <v>176</v>
      </c>
      <c r="C51" s="348">
        <v>182</v>
      </c>
      <c r="D51" s="349">
        <v>358</v>
      </c>
      <c r="E51" s="350">
        <f t="shared" si="0"/>
        <v>7.9604497579993626E-3</v>
      </c>
      <c r="F51" s="351">
        <f t="shared" si="1"/>
        <v>73419.228118028142</v>
      </c>
    </row>
    <row r="52" spans="1:6" x14ac:dyDescent="0.4">
      <c r="A52" s="341" t="s">
        <v>17</v>
      </c>
      <c r="B52" s="342">
        <v>0</v>
      </c>
      <c r="C52" s="343">
        <v>1</v>
      </c>
      <c r="D52" s="344">
        <v>1</v>
      </c>
      <c r="E52" s="345">
        <f t="shared" si="0"/>
        <v>2.2235893178769172E-5</v>
      </c>
      <c r="F52" s="346">
        <f t="shared" si="1"/>
        <v>205.08164278778813</v>
      </c>
    </row>
    <row r="53" spans="1:6" x14ac:dyDescent="0.4">
      <c r="A53" s="334" t="s">
        <v>35</v>
      </c>
      <c r="B53" s="347">
        <v>41</v>
      </c>
      <c r="C53" s="348">
        <v>4</v>
      </c>
      <c r="D53" s="349">
        <v>45</v>
      </c>
      <c r="E53" s="350">
        <f t="shared" si="0"/>
        <v>1.0006151930446127E-3</v>
      </c>
      <c r="F53" s="351">
        <f t="shared" si="1"/>
        <v>9228.6739254504646</v>
      </c>
    </row>
    <row r="54" spans="1:6" x14ac:dyDescent="0.4">
      <c r="A54" s="341" t="s">
        <v>48</v>
      </c>
      <c r="B54" s="342">
        <v>292</v>
      </c>
      <c r="C54" s="343">
        <v>306</v>
      </c>
      <c r="D54" s="344">
        <v>598</v>
      </c>
      <c r="E54" s="345">
        <f t="shared" si="0"/>
        <v>1.3297064120903965E-2</v>
      </c>
      <c r="F54" s="346">
        <f t="shared" si="1"/>
        <v>122638.82238709729</v>
      </c>
    </row>
    <row r="55" spans="1:6" x14ac:dyDescent="0.4">
      <c r="A55" s="334" t="s">
        <v>49</v>
      </c>
      <c r="B55" s="347">
        <v>386</v>
      </c>
      <c r="C55" s="348">
        <v>175</v>
      </c>
      <c r="D55" s="349">
        <v>561</v>
      </c>
      <c r="E55" s="350">
        <f t="shared" si="0"/>
        <v>1.2474336073289505E-2</v>
      </c>
      <c r="F55" s="351">
        <f t="shared" si="1"/>
        <v>115050.80160394913</v>
      </c>
    </row>
    <row r="56" spans="1:6" x14ac:dyDescent="0.4">
      <c r="A56" s="341" t="s">
        <v>50</v>
      </c>
      <c r="B56" s="342">
        <v>225</v>
      </c>
      <c r="C56" s="343">
        <v>85</v>
      </c>
      <c r="D56" s="344">
        <v>310</v>
      </c>
      <c r="E56" s="345">
        <f t="shared" si="0"/>
        <v>6.8931268854184428E-3</v>
      </c>
      <c r="F56" s="346">
        <f t="shared" si="1"/>
        <v>63575.309264214309</v>
      </c>
    </row>
    <row r="57" spans="1:6" ht="15.4" x14ac:dyDescent="0.4">
      <c r="A57" s="334" t="s">
        <v>549</v>
      </c>
      <c r="B57" s="347">
        <v>52</v>
      </c>
      <c r="C57" s="348">
        <v>41.333333333333336</v>
      </c>
      <c r="D57" s="349">
        <v>93.333333333333343</v>
      </c>
      <c r="E57" s="350">
        <f t="shared" si="0"/>
        <v>2.0753500300184561E-3</v>
      </c>
      <c r="F57" s="351">
        <f t="shared" si="1"/>
        <v>19140.953326860224</v>
      </c>
    </row>
    <row r="58" spans="1:6" ht="15.4" x14ac:dyDescent="0.4">
      <c r="A58" s="341" t="s">
        <v>550</v>
      </c>
      <c r="B58" s="342">
        <v>44</v>
      </c>
      <c r="C58" s="343">
        <v>16</v>
      </c>
      <c r="D58" s="344">
        <v>60</v>
      </c>
      <c r="E58" s="345">
        <f t="shared" si="0"/>
        <v>1.3341535907261503E-3</v>
      </c>
      <c r="F58" s="346">
        <f t="shared" si="1"/>
        <v>12304.898567267286</v>
      </c>
    </row>
    <row r="59" spans="1:6" ht="15.4" x14ac:dyDescent="0.4">
      <c r="A59" s="334" t="s">
        <v>551</v>
      </c>
      <c r="B59" s="347">
        <v>6.666666666666667</v>
      </c>
      <c r="C59" s="348">
        <v>5</v>
      </c>
      <c r="D59" s="349">
        <v>11.666666666666668</v>
      </c>
      <c r="E59" s="350">
        <f t="shared" si="0"/>
        <v>2.5941875375230702E-4</v>
      </c>
      <c r="F59" s="351">
        <f t="shared" si="1"/>
        <v>2392.6191658575281</v>
      </c>
    </row>
    <row r="60" spans="1:6" x14ac:dyDescent="0.4">
      <c r="A60" s="341" t="s">
        <v>51</v>
      </c>
      <c r="B60" s="342">
        <v>321</v>
      </c>
      <c r="C60" s="343">
        <v>110</v>
      </c>
      <c r="D60" s="344">
        <v>431</v>
      </c>
      <c r="E60" s="345">
        <f t="shared" si="0"/>
        <v>9.5836699600495134E-3</v>
      </c>
      <c r="F60" s="346">
        <f t="shared" si="1"/>
        <v>88390.188041536676</v>
      </c>
    </row>
    <row r="61" spans="1:6" x14ac:dyDescent="0.4">
      <c r="A61" s="334" t="s">
        <v>38</v>
      </c>
      <c r="B61" s="347">
        <v>23</v>
      </c>
      <c r="C61" s="348">
        <v>11</v>
      </c>
      <c r="D61" s="349">
        <v>34</v>
      </c>
      <c r="E61" s="350">
        <f t="shared" si="0"/>
        <v>7.5602036807815188E-4</v>
      </c>
      <c r="F61" s="351">
        <f t="shared" si="1"/>
        <v>6972.7758547847961</v>
      </c>
    </row>
    <row r="62" spans="1:6" x14ac:dyDescent="0.4">
      <c r="A62" s="341" t="s">
        <v>52</v>
      </c>
      <c r="B62" s="342">
        <v>1334</v>
      </c>
      <c r="C62" s="343">
        <v>378</v>
      </c>
      <c r="D62" s="344">
        <v>1712</v>
      </c>
      <c r="E62" s="345">
        <f t="shared" si="0"/>
        <v>3.806784912205282E-2</v>
      </c>
      <c r="F62" s="346">
        <f t="shared" si="1"/>
        <v>351099.77245269326</v>
      </c>
    </row>
    <row r="63" spans="1:6" x14ac:dyDescent="0.4">
      <c r="A63" s="334" t="s">
        <v>39</v>
      </c>
      <c r="B63" s="347">
        <v>166</v>
      </c>
      <c r="C63" s="348">
        <v>87</v>
      </c>
      <c r="D63" s="349">
        <v>253</v>
      </c>
      <c r="E63" s="350">
        <f t="shared" si="0"/>
        <v>5.6256809742286007E-3</v>
      </c>
      <c r="F63" s="351">
        <f t="shared" si="1"/>
        <v>51885.655625310392</v>
      </c>
    </row>
    <row r="64" spans="1:6" x14ac:dyDescent="0.4">
      <c r="A64" s="341" t="s">
        <v>40</v>
      </c>
      <c r="B64" s="342">
        <v>66</v>
      </c>
      <c r="C64" s="343">
        <v>112</v>
      </c>
      <c r="D64" s="344">
        <v>178</v>
      </c>
      <c r="E64" s="345">
        <f t="shared" si="0"/>
        <v>3.9579889858209127E-3</v>
      </c>
      <c r="F64" s="346">
        <f t="shared" si="1"/>
        <v>36504.532416226284</v>
      </c>
    </row>
    <row r="65" spans="1:6" x14ac:dyDescent="0.4">
      <c r="A65" s="352" t="s">
        <v>552</v>
      </c>
      <c r="B65" s="353">
        <v>24580.000000000004</v>
      </c>
      <c r="C65" s="354">
        <v>20552.333333333332</v>
      </c>
      <c r="D65" s="355">
        <f>SUM(D7:D64)</f>
        <v>44972.333333333328</v>
      </c>
      <c r="E65" s="356">
        <v>0.99999999999999989</v>
      </c>
      <c r="F65" s="357">
        <v>9223000.0000000019</v>
      </c>
    </row>
    <row r="66" spans="1:6" ht="15.4" x14ac:dyDescent="0.4">
      <c r="A66" s="358" t="s">
        <v>553</v>
      </c>
      <c r="B66" s="359"/>
      <c r="C66" s="359"/>
      <c r="D66" s="360"/>
      <c r="E66" s="360"/>
      <c r="F66" s="363">
        <f>SUM(F7:F64)</f>
        <v>9223000.0000000019</v>
      </c>
    </row>
    <row r="67" spans="1:6" ht="15.4" x14ac:dyDescent="0.4">
      <c r="A67" s="358" t="s">
        <v>554</v>
      </c>
      <c r="B67" s="359"/>
      <c r="C67" s="359"/>
      <c r="D67" s="360"/>
      <c r="E67" s="360"/>
      <c r="F67" s="360"/>
    </row>
    <row r="68" spans="1:6" x14ac:dyDescent="0.4">
      <c r="A68" s="358"/>
      <c r="B68" s="359"/>
      <c r="C68" s="359"/>
      <c r="D68" s="360"/>
      <c r="E68" s="360"/>
      <c r="F68" s="360"/>
    </row>
  </sheetData>
  <mergeCells count="2">
    <mergeCell ref="A3:F3"/>
    <mergeCell ref="A4:F4"/>
  </mergeCells>
  <printOptions horizontalCentered="1"/>
  <pageMargins left="0.95" right="0.95" top="0.2" bottom="0.49" header="0.3" footer="0.3"/>
  <pageSetup scale="74" fitToHeight="2" orientation="portrait" r:id="rId1"/>
  <headerFooter>
    <oddHeader>&amp;RAttachment 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O67"/>
  <sheetViews>
    <sheetView topLeftCell="C31" workbookViewId="0">
      <selection activeCell="M68" sqref="M68"/>
    </sheetView>
  </sheetViews>
  <sheetFormatPr defaultRowHeight="14.25" x14ac:dyDescent="0.45"/>
  <cols>
    <col min="1" max="1" width="5.86328125" customWidth="1"/>
    <col min="2" max="2" width="20.3984375" customWidth="1"/>
    <col min="3" max="3" width="14.3984375" customWidth="1"/>
    <col min="4" max="4" width="13.86328125" customWidth="1"/>
    <col min="5" max="5" width="14.3984375" customWidth="1"/>
    <col min="6" max="6" width="11.3984375" customWidth="1"/>
    <col min="7" max="7" width="1.3984375" customWidth="1"/>
    <col min="8" max="8" width="15" customWidth="1"/>
    <col min="9" max="9" width="14.3984375" customWidth="1"/>
    <col min="10" max="10" width="12.265625" bestFit="1" customWidth="1"/>
    <col min="11" max="11" width="1.3984375" customWidth="1"/>
    <col min="12" max="12" width="14.86328125" customWidth="1"/>
    <col min="13" max="13" width="15.265625" customWidth="1"/>
    <col min="14" max="14" width="12.3984375" customWidth="1"/>
    <col min="15" max="15" width="1.3984375" customWidth="1"/>
    <col min="16" max="16" width="11.1328125" bestFit="1" customWidth="1"/>
    <col min="17" max="17" width="11.73046875" bestFit="1" customWidth="1"/>
    <col min="19" max="19" width="2" customWidth="1"/>
    <col min="20" max="20" width="12.3984375" bestFit="1" customWidth="1"/>
    <col min="21" max="21" width="11.1328125" bestFit="1" customWidth="1"/>
    <col min="22" max="22" width="1.3984375" customWidth="1"/>
    <col min="23" max="23" width="12.265625" bestFit="1" customWidth="1"/>
    <col min="24" max="24" width="13.265625" bestFit="1" customWidth="1"/>
    <col min="25" max="25" width="2.1328125" customWidth="1"/>
    <col min="26" max="26" width="12.59765625" customWidth="1"/>
    <col min="27" max="27" width="1.3984375" customWidth="1"/>
    <col min="28" max="28" width="14.3984375" customWidth="1"/>
    <col min="29" max="29" width="1.86328125" customWidth="1"/>
    <col min="30" max="30" width="15.86328125" hidden="1" customWidth="1"/>
    <col min="31" max="31" width="0" hidden="1" customWidth="1"/>
    <col min="32" max="32" width="10.3984375" hidden="1" customWidth="1"/>
    <col min="33" max="33" width="16.3984375" hidden="1" customWidth="1"/>
    <col min="34" max="35" width="0" hidden="1" customWidth="1"/>
    <col min="36" max="36" width="16.3984375" hidden="1" customWidth="1"/>
    <col min="37" max="38" width="0" hidden="1" customWidth="1"/>
    <col min="39" max="39" width="11.59765625" hidden="1" customWidth="1"/>
    <col min="40" max="41" width="0" hidden="1" customWidth="1"/>
  </cols>
  <sheetData>
    <row r="1" spans="1:41" ht="18" x14ac:dyDescent="0.55000000000000004">
      <c r="A1" s="46" t="s">
        <v>557</v>
      </c>
      <c r="B1" s="1"/>
      <c r="C1" s="1"/>
      <c r="D1" s="1"/>
      <c r="E1" s="1"/>
      <c r="G1" s="2"/>
      <c r="H1" s="23"/>
      <c r="I1" s="23"/>
      <c r="J1" s="23"/>
      <c r="T1" s="23"/>
      <c r="U1" s="23"/>
      <c r="V1" s="13"/>
      <c r="W1" s="13"/>
      <c r="X1" s="13"/>
    </row>
    <row r="2" spans="1:41" x14ac:dyDescent="0.45">
      <c r="B2" s="1"/>
      <c r="C2" s="1"/>
      <c r="D2" s="1"/>
      <c r="E2" s="1"/>
      <c r="G2" s="2"/>
      <c r="H2" s="23"/>
      <c r="I2" s="23"/>
      <c r="J2" s="23"/>
      <c r="T2" s="23"/>
      <c r="U2" s="23"/>
      <c r="V2" s="13"/>
      <c r="W2" s="13"/>
      <c r="X2" s="13"/>
    </row>
    <row r="3" spans="1:41" ht="59.25" customHeight="1" x14ac:dyDescent="0.45">
      <c r="A3" s="439"/>
      <c r="B3" s="439"/>
      <c r="C3" s="440" t="s">
        <v>131</v>
      </c>
      <c r="D3" s="442" t="s">
        <v>479</v>
      </c>
      <c r="E3" s="443"/>
      <c r="F3" s="437" t="s">
        <v>215</v>
      </c>
      <c r="G3" s="116"/>
      <c r="H3" s="444" t="s">
        <v>481</v>
      </c>
      <c r="I3" s="444"/>
      <c r="J3" s="444"/>
      <c r="K3" s="114"/>
      <c r="L3" s="445" t="s">
        <v>490</v>
      </c>
      <c r="M3" s="445"/>
      <c r="N3" s="445"/>
      <c r="O3" s="114"/>
      <c r="P3" s="445" t="s">
        <v>496</v>
      </c>
      <c r="Q3" s="445"/>
      <c r="R3" s="445"/>
      <c r="S3" s="114"/>
      <c r="T3" s="446" t="s">
        <v>159</v>
      </c>
      <c r="U3" s="446"/>
      <c r="V3" s="155"/>
      <c r="W3" s="447" t="s">
        <v>485</v>
      </c>
      <c r="X3" s="448"/>
      <c r="Z3" s="437" t="s">
        <v>487</v>
      </c>
      <c r="AB3" s="437" t="s">
        <v>501</v>
      </c>
      <c r="AD3" s="437" t="s">
        <v>166</v>
      </c>
      <c r="AE3" s="437" t="str">
        <f>"Allocation and Reallocation of "&amp;TEXT(AE$66,"$0.0,,")&amp;" Million in New Funding in 2017-18"</f>
        <v>Allocation and Reallocation of $0.0 Million in New Funding in 2017-18</v>
      </c>
      <c r="AF3" s="437" t="s">
        <v>168</v>
      </c>
      <c r="AG3" s="437" t="str">
        <f>"Estimated Adjustment in 2018-19 Related to Reallocation of "&amp;TEXT(AG$66,"0.0%")&amp;" of Historical Base"</f>
        <v>Estimated Adjustment in 2018-19 Related to Reallocation of 10.0% of Historical Base</v>
      </c>
      <c r="AH3" s="437" t="str">
        <f>"Allocation and Reallocation of "&amp;TEXT(AH$66,"$0.0,,")&amp;" Million in New Funding in 2018-19"</f>
        <v>Allocation and Reallocation of $0.0 Million in New Funding in 2018-19</v>
      </c>
      <c r="AI3" s="437" t="s">
        <v>450</v>
      </c>
      <c r="AJ3" s="437" t="str">
        <f>"Estimated Adjustment in 2019-20 Related to Reallocation of "&amp;TEXT(AJ$66,"0.0%")&amp;" of Historical Base"</f>
        <v>Estimated Adjustment in 2019-20 Related to Reallocation of 10.0% of Historical Base</v>
      </c>
      <c r="AK3" s="437" t="str">
        <f>"Allocation and Reallocation of "&amp;TEXT(AK$66,"$0.0,,")&amp;" Million in New Funding in 2019-20"</f>
        <v>Allocation and Reallocation of $0.0 Million in New Funding in 2019-20</v>
      </c>
      <c r="AL3" s="437" t="s">
        <v>451</v>
      </c>
      <c r="AM3" s="437" t="str">
        <f>"Estimated Adjustment in 2020-21 Related to Reallocation of "&amp;TEXT(AM$66,"0.0%")&amp;" of Historical Base"</f>
        <v>Estimated Adjustment in 2020-21 Related to Reallocation of 10.0% of Historical Base</v>
      </c>
      <c r="AN3" s="437" t="str">
        <f>"Allocation and Reallocation of "&amp;TEXT(AN$66,"$0.0,,")&amp;" Million in New Funding in 2020-21"</f>
        <v>Allocation and Reallocation of $0.0 Million in New Funding in 2020-21</v>
      </c>
      <c r="AO3" s="437" t="s">
        <v>452</v>
      </c>
    </row>
    <row r="4" spans="1:41" ht="89.25" x14ac:dyDescent="0.45">
      <c r="A4" s="439"/>
      <c r="B4" s="439"/>
      <c r="C4" s="441"/>
      <c r="D4" s="258" t="s">
        <v>130</v>
      </c>
      <c r="E4" s="258" t="s">
        <v>480</v>
      </c>
      <c r="F4" s="438"/>
      <c r="G4" s="117"/>
      <c r="H4" s="259" t="s">
        <v>482</v>
      </c>
      <c r="I4" s="259" t="s">
        <v>76</v>
      </c>
      <c r="J4" s="259" t="s">
        <v>160</v>
      </c>
      <c r="K4" s="114"/>
      <c r="L4" s="260" t="s">
        <v>489</v>
      </c>
      <c r="M4" s="257" t="s">
        <v>491</v>
      </c>
      <c r="N4" s="151" t="s">
        <v>160</v>
      </c>
      <c r="O4" s="114"/>
      <c r="P4" s="260" t="s">
        <v>497</v>
      </c>
      <c r="Q4" s="257" t="s">
        <v>437</v>
      </c>
      <c r="R4" s="151" t="s">
        <v>160</v>
      </c>
      <c r="S4" s="114"/>
      <c r="T4" s="260" t="s">
        <v>502</v>
      </c>
      <c r="U4" s="260" t="s">
        <v>494</v>
      </c>
      <c r="V4" s="156"/>
      <c r="W4" s="123" t="s">
        <v>486</v>
      </c>
      <c r="X4" s="123" t="s">
        <v>500</v>
      </c>
      <c r="Z4" s="438"/>
      <c r="AB4" s="438"/>
      <c r="AD4" s="438"/>
      <c r="AE4" s="438"/>
      <c r="AF4" s="438"/>
      <c r="AG4" s="438"/>
      <c r="AH4" s="438"/>
      <c r="AI4" s="438"/>
      <c r="AJ4" s="438"/>
      <c r="AK4" s="438"/>
      <c r="AL4" s="438"/>
      <c r="AM4" s="438"/>
      <c r="AN4" s="438"/>
      <c r="AO4" s="438"/>
    </row>
    <row r="5" spans="1:41" x14ac:dyDescent="0.45">
      <c r="A5" s="24" t="s">
        <v>72</v>
      </c>
      <c r="B5" s="24" t="s">
        <v>63</v>
      </c>
      <c r="C5" s="38" t="s">
        <v>68</v>
      </c>
      <c r="D5" s="30" t="s">
        <v>1</v>
      </c>
      <c r="E5" s="30" t="s">
        <v>69</v>
      </c>
      <c r="F5" s="115" t="s">
        <v>219</v>
      </c>
      <c r="G5" s="118"/>
      <c r="H5" s="31" t="s">
        <v>483</v>
      </c>
      <c r="I5" s="31" t="s">
        <v>484</v>
      </c>
      <c r="J5" s="31" t="s">
        <v>238</v>
      </c>
      <c r="K5" s="113"/>
      <c r="L5" s="152" t="s">
        <v>492</v>
      </c>
      <c r="M5" s="152" t="s">
        <v>493</v>
      </c>
      <c r="N5" s="152" t="s">
        <v>239</v>
      </c>
      <c r="O5" s="113"/>
      <c r="P5" s="152" t="s">
        <v>498</v>
      </c>
      <c r="Q5" s="152" t="s">
        <v>499</v>
      </c>
      <c r="R5" s="152" t="s">
        <v>240</v>
      </c>
      <c r="S5" s="113"/>
      <c r="T5" s="31" t="s">
        <v>488</v>
      </c>
      <c r="U5" s="31" t="s">
        <v>495</v>
      </c>
      <c r="V5" s="157"/>
      <c r="W5" s="31" t="s">
        <v>157</v>
      </c>
      <c r="X5" s="31" t="s">
        <v>158</v>
      </c>
      <c r="Y5" s="113"/>
      <c r="Z5" s="115" t="s">
        <v>67</v>
      </c>
      <c r="AA5" s="113"/>
      <c r="AB5" s="115" t="s">
        <v>167</v>
      </c>
      <c r="AC5" s="113"/>
      <c r="AD5" s="115" t="s">
        <v>169</v>
      </c>
      <c r="AE5" s="115" t="s">
        <v>170</v>
      </c>
      <c r="AF5" s="115" t="s">
        <v>182</v>
      </c>
      <c r="AG5" s="115" t="s">
        <v>213</v>
      </c>
      <c r="AH5" s="115" t="s">
        <v>214</v>
      </c>
      <c r="AI5" s="115" t="s">
        <v>241</v>
      </c>
      <c r="AJ5" s="115" t="s">
        <v>341</v>
      </c>
      <c r="AK5" s="115" t="s">
        <v>453</v>
      </c>
      <c r="AL5" s="115" t="s">
        <v>454</v>
      </c>
      <c r="AM5" s="115" t="s">
        <v>455</v>
      </c>
      <c r="AN5" s="115" t="s">
        <v>345</v>
      </c>
      <c r="AO5" s="115" t="s">
        <v>346</v>
      </c>
    </row>
    <row r="6" spans="1:41" ht="15.75" x14ac:dyDescent="0.5">
      <c r="A6" s="19">
        <v>4</v>
      </c>
      <c r="B6" s="32" t="s">
        <v>53</v>
      </c>
      <c r="C6" s="124">
        <v>69586867.013737351</v>
      </c>
      <c r="D6" s="33">
        <v>4.8307843371362374E-2</v>
      </c>
      <c r="E6" s="33">
        <v>3.8336875716504112E-2</v>
      </c>
      <c r="F6" s="181">
        <f>E6/D6</f>
        <v>0.7935952640608005</v>
      </c>
      <c r="G6" s="119"/>
      <c r="H6" s="27">
        <f>$H$66*$D6</f>
        <v>-34793433.506868675</v>
      </c>
      <c r="I6" s="27">
        <f t="shared" ref="I6:I63" si="0">-$H$65*E6</f>
        <v>27611904.051465347</v>
      </c>
      <c r="J6" s="37">
        <f>SUM(H6:I6)</f>
        <v>-7181529.4554033279</v>
      </c>
      <c r="K6" s="2"/>
      <c r="L6" s="108">
        <f>$L$66*$E6</f>
        <v>8962703.7235488556</v>
      </c>
      <c r="M6" s="108">
        <f>$L$65*-$D6</f>
        <v>-11293796.887958979</v>
      </c>
      <c r="N6" s="108">
        <f>L6+M6</f>
        <v>-2331093.1644101236</v>
      </c>
      <c r="O6" s="2"/>
      <c r="P6" s="108">
        <f>$P$66*$E6</f>
        <v>0</v>
      </c>
      <c r="Q6" s="108">
        <f>$P$65*-$D6</f>
        <v>0</v>
      </c>
      <c r="R6" s="108">
        <f>P6+Q6</f>
        <v>0</v>
      </c>
      <c r="S6" s="2"/>
      <c r="T6" s="27">
        <f>$T$66*$E6</f>
        <v>8962703.7235488556</v>
      </c>
      <c r="U6" s="27">
        <f>$U$66*$E6</f>
        <v>0</v>
      </c>
      <c r="V6" s="12"/>
      <c r="W6" s="122">
        <v>6603513.7782746814</v>
      </c>
      <c r="X6" s="122">
        <v>-5935117.4015014311</v>
      </c>
      <c r="Y6" s="2"/>
      <c r="Z6" s="108">
        <f>SUM(J6,N6,R6,T6:X6)</f>
        <v>118477.48050865438</v>
      </c>
      <c r="AA6" s="2"/>
      <c r="AB6" s="108">
        <v>-13183.574330919786</v>
      </c>
      <c r="AC6" s="12"/>
      <c r="AD6" s="108">
        <f>($C$65*AD$66)*(-$D6+$E6)</f>
        <v>-1436305.8910806654</v>
      </c>
      <c r="AE6" s="108">
        <f t="shared" ref="AE6:AE63" si="1">(-$D6+(2*$E6))*AE$66</f>
        <v>0</v>
      </c>
      <c r="AF6" s="108" t="e">
        <f>#REF!</f>
        <v>#REF!</v>
      </c>
      <c r="AG6" s="108">
        <f>($C$65*AG$66)*(-$D6+$E6)</f>
        <v>-1436305.8910806654</v>
      </c>
      <c r="AH6" s="108">
        <f t="shared" ref="AH6:AH63" si="2">(-$D6+(2*$E6))*AH$66</f>
        <v>0</v>
      </c>
      <c r="AI6" s="108" t="e">
        <f>#REF!</f>
        <v>#REF!</v>
      </c>
      <c r="AJ6" s="108">
        <f>($C$65*AJ$66)*(-$D6+$E6)</f>
        <v>-1436305.8910806654</v>
      </c>
      <c r="AK6" s="108">
        <f t="shared" ref="AK6:AK63" si="3">(-$D6+(2*$E6))*AK$66</f>
        <v>0</v>
      </c>
      <c r="AL6" s="108" t="e">
        <f>#REF!</f>
        <v>#REF!</v>
      </c>
      <c r="AM6" s="108">
        <f>($C$65*AM$66)*(-$D6+$E6)</f>
        <v>-1436305.8910806654</v>
      </c>
      <c r="AN6" s="108">
        <f t="shared" ref="AN6:AN63" si="4">(-$D6+(2*$E6))*AN$66</f>
        <v>0</v>
      </c>
      <c r="AO6" s="108" t="e">
        <f>#REF!</f>
        <v>#REF!</v>
      </c>
    </row>
    <row r="7" spans="1:41" ht="15.75" x14ac:dyDescent="0.5">
      <c r="A7" s="19">
        <v>1</v>
      </c>
      <c r="B7" s="32" t="s">
        <v>4</v>
      </c>
      <c r="C7" s="124">
        <v>552141.70180198876</v>
      </c>
      <c r="D7" s="33">
        <v>3.8330184981862157E-4</v>
      </c>
      <c r="E7" s="33">
        <v>1.7863928138780509E-4</v>
      </c>
      <c r="F7" s="181">
        <f t="shared" ref="F7:F65" si="5">E7/D7</f>
        <v>0.46605379408509817</v>
      </c>
      <c r="G7" s="119"/>
      <c r="H7" s="27">
        <f t="shared" ref="H7:H63" si="6">$H$66*$D7</f>
        <v>-276070.85090099438</v>
      </c>
      <c r="I7" s="27">
        <f t="shared" si="0"/>
        <v>128663.86749870988</v>
      </c>
      <c r="J7" s="37">
        <f t="shared" ref="J7:J63" si="7">SUM(H7:I7)</f>
        <v>-147406.9834022845</v>
      </c>
      <c r="K7" s="2"/>
      <c r="L7" s="108">
        <f t="shared" ref="L7:L63" si="8">$L$66*$E7</f>
        <v>41763.730678170497</v>
      </c>
      <c r="M7" s="108">
        <f t="shared" ref="M7:M63" si="9">$L$65*-$D7</f>
        <v>-89611.395096903172</v>
      </c>
      <c r="N7" s="108">
        <f t="shared" ref="N7:N63" si="10">L7+M7</f>
        <v>-47847.664418732675</v>
      </c>
      <c r="O7" s="2"/>
      <c r="P7" s="108">
        <f t="shared" ref="P7:P63" si="11">$P$66*$E7</f>
        <v>0</v>
      </c>
      <c r="Q7" s="108">
        <f t="shared" ref="Q7:Q63" si="12">$P$65*-$D7</f>
        <v>0</v>
      </c>
      <c r="R7" s="108">
        <f t="shared" ref="R7:R63" si="13">P7+Q7</f>
        <v>0</v>
      </c>
      <c r="S7" s="2"/>
      <c r="T7" s="27">
        <f t="shared" ref="T7:T63" si="14">$T$66*$E7</f>
        <v>41763.730678170497</v>
      </c>
      <c r="U7" s="27">
        <f t="shared" ref="U7:U63" si="15">$U$66*$E7</f>
        <v>0</v>
      </c>
      <c r="V7" s="12"/>
      <c r="W7" s="122">
        <v>121523.41576533408</v>
      </c>
      <c r="X7" s="122">
        <v>9003.5328113854284</v>
      </c>
      <c r="Y7" s="2"/>
      <c r="Z7" s="108">
        <f t="shared" ref="Z7:Z63" si="16">SUM(J7,N7,R7,T7:X7)</f>
        <v>-22963.968566127172</v>
      </c>
      <c r="AA7" s="2"/>
      <c r="AB7" s="108">
        <v>11128.0791461271</v>
      </c>
      <c r="AC7" s="12"/>
      <c r="AD7" s="108">
        <f t="shared" ref="AD7:AD63" si="17">($C$65*0.1)*(-$D7+$E7)</f>
        <v>-29481.396680456903</v>
      </c>
      <c r="AE7" s="108">
        <f t="shared" si="1"/>
        <v>0</v>
      </c>
      <c r="AF7" s="108" t="e">
        <f>#REF!</f>
        <v>#REF!</v>
      </c>
      <c r="AG7" s="108">
        <f t="shared" ref="AG7:AG63" si="18">($C$65*AG$66)*(-$D7+$E7)</f>
        <v>-29481.396680456903</v>
      </c>
      <c r="AH7" s="108">
        <f t="shared" si="2"/>
        <v>0</v>
      </c>
      <c r="AI7" s="108" t="e">
        <f>#REF!</f>
        <v>#REF!</v>
      </c>
      <c r="AJ7" s="108">
        <f t="shared" ref="AJ7:AJ63" si="19">($C$65*AJ$66)*(-$D7+$E7)</f>
        <v>-29481.396680456903</v>
      </c>
      <c r="AK7" s="108">
        <f t="shared" si="3"/>
        <v>0</v>
      </c>
      <c r="AL7" s="108" t="e">
        <f>#REF!</f>
        <v>#REF!</v>
      </c>
      <c r="AM7" s="108">
        <f t="shared" ref="AM7:AM63" si="20">($C$65*AM$66)*(-$D7+$E7)</f>
        <v>-29481.396680456903</v>
      </c>
      <c r="AN7" s="108">
        <f t="shared" si="4"/>
        <v>0</v>
      </c>
      <c r="AO7" s="108" t="e">
        <f>#REF!</f>
        <v>#REF!</v>
      </c>
    </row>
    <row r="8" spans="1:41" ht="15.75" x14ac:dyDescent="0.5">
      <c r="A8" s="19">
        <v>1</v>
      </c>
      <c r="B8" s="32" t="s">
        <v>5</v>
      </c>
      <c r="C8" s="124">
        <v>2080491.3752727169</v>
      </c>
      <c r="D8" s="33">
        <v>1.4442962559631245E-3</v>
      </c>
      <c r="E8" s="33">
        <v>1.2035259114880419E-3</v>
      </c>
      <c r="F8" s="181">
        <f t="shared" si="5"/>
        <v>0.8332957359122104</v>
      </c>
      <c r="G8" s="119"/>
      <c r="H8" s="27">
        <f t="shared" si="6"/>
        <v>-1040245.6876363584</v>
      </c>
      <c r="I8" s="27">
        <f t="shared" si="0"/>
        <v>866832.29580844252</v>
      </c>
      <c r="J8" s="37">
        <f t="shared" si="7"/>
        <v>-173413.39182791591</v>
      </c>
      <c r="K8" s="2"/>
      <c r="L8" s="108">
        <f t="shared" si="8"/>
        <v>281369.98559946922</v>
      </c>
      <c r="M8" s="108">
        <f t="shared" si="9"/>
        <v>-337659.21685828973</v>
      </c>
      <c r="N8" s="108">
        <f t="shared" si="10"/>
        <v>-56289.23125882051</v>
      </c>
      <c r="O8" s="2"/>
      <c r="P8" s="108">
        <f t="shared" si="11"/>
        <v>0</v>
      </c>
      <c r="Q8" s="108">
        <f t="shared" si="12"/>
        <v>0</v>
      </c>
      <c r="R8" s="108">
        <f t="shared" si="13"/>
        <v>0</v>
      </c>
      <c r="S8" s="2"/>
      <c r="T8" s="27">
        <f t="shared" si="14"/>
        <v>281369.98559946922</v>
      </c>
      <c r="U8" s="27">
        <f t="shared" si="15"/>
        <v>0</v>
      </c>
      <c r="V8" s="12"/>
      <c r="W8" s="122">
        <v>115508.8876549775</v>
      </c>
      <c r="X8" s="122">
        <v>-243925.01298388245</v>
      </c>
      <c r="Y8" s="2"/>
      <c r="Z8" s="108">
        <f t="shared" si="16"/>
        <v>-76748.762816172151</v>
      </c>
      <c r="AA8" s="2"/>
      <c r="AB8" s="108">
        <v>-415.14105228305215</v>
      </c>
      <c r="AC8" s="12"/>
      <c r="AD8" s="108">
        <f t="shared" si="17"/>
        <v>-34682.678365583168</v>
      </c>
      <c r="AE8" s="108">
        <f t="shared" si="1"/>
        <v>0</v>
      </c>
      <c r="AF8" s="108" t="e">
        <f>#REF!</f>
        <v>#REF!</v>
      </c>
      <c r="AG8" s="108">
        <f t="shared" si="18"/>
        <v>-34682.678365583168</v>
      </c>
      <c r="AH8" s="108">
        <f t="shared" si="2"/>
        <v>0</v>
      </c>
      <c r="AI8" s="108" t="e">
        <f>#REF!</f>
        <v>#REF!</v>
      </c>
      <c r="AJ8" s="108">
        <f t="shared" si="19"/>
        <v>-34682.678365583168</v>
      </c>
      <c r="AK8" s="108">
        <f t="shared" si="3"/>
        <v>0</v>
      </c>
      <c r="AL8" s="108" t="e">
        <f>#REF!</f>
        <v>#REF!</v>
      </c>
      <c r="AM8" s="108">
        <f t="shared" si="20"/>
        <v>-34682.678365583168</v>
      </c>
      <c r="AN8" s="108">
        <f t="shared" si="4"/>
        <v>0</v>
      </c>
      <c r="AO8" s="108" t="e">
        <f>#REF!</f>
        <v>#REF!</v>
      </c>
    </row>
    <row r="9" spans="1:41" ht="15.75" x14ac:dyDescent="0.5">
      <c r="A9" s="19">
        <v>2</v>
      </c>
      <c r="B9" s="32" t="s">
        <v>19</v>
      </c>
      <c r="C9" s="124">
        <v>7287810.4699355969</v>
      </c>
      <c r="D9" s="33">
        <v>5.0592650856421334E-3</v>
      </c>
      <c r="E9" s="33">
        <v>5.4993883410464385E-3</v>
      </c>
      <c r="F9" s="181">
        <f t="shared" si="5"/>
        <v>1.0869935154521446</v>
      </c>
      <c r="G9" s="119"/>
      <c r="H9" s="27">
        <f t="shared" si="6"/>
        <v>-3643905.2349677985</v>
      </c>
      <c r="I9" s="27">
        <f t="shared" si="0"/>
        <v>3960901.3613321204</v>
      </c>
      <c r="J9" s="37">
        <f t="shared" si="7"/>
        <v>316996.12636432191</v>
      </c>
      <c r="K9" s="2"/>
      <c r="L9" s="108">
        <f t="shared" si="8"/>
        <v>1285691.3204410886</v>
      </c>
      <c r="M9" s="108">
        <f t="shared" si="9"/>
        <v>-1182795.7592794776</v>
      </c>
      <c r="N9" s="108">
        <f t="shared" si="10"/>
        <v>102895.561161611</v>
      </c>
      <c r="O9" s="2"/>
      <c r="P9" s="108">
        <f t="shared" si="11"/>
        <v>0</v>
      </c>
      <c r="Q9" s="108">
        <f t="shared" si="12"/>
        <v>0</v>
      </c>
      <c r="R9" s="108">
        <f t="shared" si="13"/>
        <v>0</v>
      </c>
      <c r="S9" s="2"/>
      <c r="T9" s="27">
        <f t="shared" si="14"/>
        <v>1285691.3204410886</v>
      </c>
      <c r="U9" s="27">
        <f t="shared" si="15"/>
        <v>0</v>
      </c>
      <c r="V9" s="12"/>
      <c r="W9" s="122">
        <v>-309051.36594614387</v>
      </c>
      <c r="X9" s="122">
        <v>-1433587.5756615116</v>
      </c>
      <c r="Y9" s="2"/>
      <c r="Z9" s="108">
        <f t="shared" si="16"/>
        <v>-37055.933640633943</v>
      </c>
      <c r="AA9" s="2"/>
      <c r="AB9" s="108">
        <v>-1746.5014291677401</v>
      </c>
      <c r="AC9" s="12"/>
      <c r="AD9" s="108">
        <f t="shared" si="17"/>
        <v>63399.225272864423</v>
      </c>
      <c r="AE9" s="108">
        <f t="shared" si="1"/>
        <v>0</v>
      </c>
      <c r="AF9" s="108" t="e">
        <f>#REF!</f>
        <v>#REF!</v>
      </c>
      <c r="AG9" s="108">
        <f t="shared" si="18"/>
        <v>63399.225272864423</v>
      </c>
      <c r="AH9" s="108">
        <f t="shared" si="2"/>
        <v>0</v>
      </c>
      <c r="AI9" s="108" t="e">
        <f>#REF!</f>
        <v>#REF!</v>
      </c>
      <c r="AJ9" s="108">
        <f t="shared" si="19"/>
        <v>63399.225272864423</v>
      </c>
      <c r="AK9" s="108">
        <f t="shared" si="3"/>
        <v>0</v>
      </c>
      <c r="AL9" s="108" t="e">
        <f>#REF!</f>
        <v>#REF!</v>
      </c>
      <c r="AM9" s="108">
        <f t="shared" si="20"/>
        <v>63399.225272864423</v>
      </c>
      <c r="AN9" s="108">
        <f t="shared" si="4"/>
        <v>0</v>
      </c>
      <c r="AO9" s="108" t="e">
        <f>#REF!</f>
        <v>#REF!</v>
      </c>
    </row>
    <row r="10" spans="1:41" ht="15.75" x14ac:dyDescent="0.5">
      <c r="A10" s="19">
        <v>1</v>
      </c>
      <c r="B10" s="32" t="s">
        <v>6</v>
      </c>
      <c r="C10" s="124">
        <v>1950891.514090304</v>
      </c>
      <c r="D10" s="33">
        <v>1.3543268398416262E-3</v>
      </c>
      <c r="E10" s="33">
        <v>1.0918068754200835E-3</v>
      </c>
      <c r="F10" s="181">
        <f t="shared" si="5"/>
        <v>0.80616203068659442</v>
      </c>
      <c r="G10" s="119"/>
      <c r="H10" s="27">
        <f t="shared" si="6"/>
        <v>-975445.75704515213</v>
      </c>
      <c r="I10" s="27">
        <f t="shared" si="0"/>
        <v>786367.33232414222</v>
      </c>
      <c r="J10" s="37">
        <f t="shared" si="7"/>
        <v>-189078.42472100991</v>
      </c>
      <c r="K10" s="2"/>
      <c r="L10" s="108">
        <f t="shared" si="8"/>
        <v>255251.40911550925</v>
      </c>
      <c r="M10" s="108">
        <f t="shared" si="9"/>
        <v>-316625.44178385072</v>
      </c>
      <c r="N10" s="108">
        <f t="shared" si="10"/>
        <v>-61374.032668341475</v>
      </c>
      <c r="O10" s="2"/>
      <c r="P10" s="108">
        <f t="shared" si="11"/>
        <v>0</v>
      </c>
      <c r="Q10" s="108">
        <f t="shared" si="12"/>
        <v>0</v>
      </c>
      <c r="R10" s="108">
        <f t="shared" si="13"/>
        <v>0</v>
      </c>
      <c r="S10" s="2"/>
      <c r="T10" s="27">
        <f t="shared" si="14"/>
        <v>255251.40911550925</v>
      </c>
      <c r="U10" s="27">
        <f t="shared" si="15"/>
        <v>0</v>
      </c>
      <c r="V10" s="12"/>
      <c r="W10" s="122">
        <v>103605.59144677047</v>
      </c>
      <c r="X10" s="122">
        <v>-232550.63309719949</v>
      </c>
      <c r="Y10" s="2"/>
      <c r="Z10" s="108">
        <f t="shared" si="16"/>
        <v>-124146.08992427116</v>
      </c>
      <c r="AA10" s="2"/>
      <c r="AB10" s="108">
        <v>-386.37328412153568</v>
      </c>
      <c r="AC10" s="12"/>
      <c r="AD10" s="108">
        <f t="shared" si="17"/>
        <v>-37815.684944201981</v>
      </c>
      <c r="AE10" s="108">
        <f t="shared" si="1"/>
        <v>0</v>
      </c>
      <c r="AF10" s="108" t="e">
        <f>#REF!</f>
        <v>#REF!</v>
      </c>
      <c r="AG10" s="108">
        <f t="shared" si="18"/>
        <v>-37815.684944201981</v>
      </c>
      <c r="AH10" s="108">
        <f t="shared" si="2"/>
        <v>0</v>
      </c>
      <c r="AI10" s="108" t="e">
        <f>#REF!</f>
        <v>#REF!</v>
      </c>
      <c r="AJ10" s="108">
        <f t="shared" si="19"/>
        <v>-37815.684944201981</v>
      </c>
      <c r="AK10" s="108">
        <f t="shared" si="3"/>
        <v>0</v>
      </c>
      <c r="AL10" s="108" t="e">
        <f>#REF!</f>
        <v>#REF!</v>
      </c>
      <c r="AM10" s="108">
        <f t="shared" si="20"/>
        <v>-37815.684944201981</v>
      </c>
      <c r="AN10" s="108">
        <f t="shared" si="4"/>
        <v>0</v>
      </c>
      <c r="AO10" s="108" t="e">
        <f>#REF!</f>
        <v>#REF!</v>
      </c>
    </row>
    <row r="11" spans="1:41" ht="15.75" x14ac:dyDescent="0.5">
      <c r="A11" s="19">
        <v>1</v>
      </c>
      <c r="B11" s="32" t="s">
        <v>7</v>
      </c>
      <c r="C11" s="124">
        <v>1368302.3218059212</v>
      </c>
      <c r="D11" s="33">
        <v>9.4988806197328834E-4</v>
      </c>
      <c r="E11" s="33">
        <v>8.2756152662507242E-4</v>
      </c>
      <c r="F11" s="181">
        <f t="shared" si="5"/>
        <v>0.87122005187211649</v>
      </c>
      <c r="G11" s="119"/>
      <c r="H11" s="27">
        <f t="shared" si="6"/>
        <v>-684151.16090296058</v>
      </c>
      <c r="I11" s="27">
        <f t="shared" si="0"/>
        <v>596046.20989024604</v>
      </c>
      <c r="J11" s="37">
        <f t="shared" si="7"/>
        <v>-88104.951012714533</v>
      </c>
      <c r="K11" s="2"/>
      <c r="L11" s="108">
        <f t="shared" si="8"/>
        <v>193474.00218519097</v>
      </c>
      <c r="M11" s="108">
        <f t="shared" si="9"/>
        <v>-222072.48532611868</v>
      </c>
      <c r="N11" s="108">
        <f t="shared" si="10"/>
        <v>-28598.48314092771</v>
      </c>
      <c r="O11" s="2"/>
      <c r="P11" s="108">
        <f t="shared" si="11"/>
        <v>0</v>
      </c>
      <c r="Q11" s="108">
        <f t="shared" si="12"/>
        <v>0</v>
      </c>
      <c r="R11" s="108">
        <f t="shared" si="13"/>
        <v>0</v>
      </c>
      <c r="S11" s="2"/>
      <c r="T11" s="27">
        <f t="shared" si="14"/>
        <v>193474.00218519097</v>
      </c>
      <c r="U11" s="27">
        <f t="shared" si="15"/>
        <v>0</v>
      </c>
      <c r="V11" s="12"/>
      <c r="W11" s="122">
        <v>95668.006663343345</v>
      </c>
      <c r="X11" s="122">
        <v>-144438.94021203788</v>
      </c>
      <c r="Y11" s="2"/>
      <c r="Z11" s="108">
        <f t="shared" si="16"/>
        <v>27999.634482854191</v>
      </c>
      <c r="AA11" s="2"/>
      <c r="AB11" s="108">
        <v>-356.42714463897295</v>
      </c>
      <c r="AC11" s="12"/>
      <c r="AD11" s="108">
        <f t="shared" si="17"/>
        <v>-17620.990202542918</v>
      </c>
      <c r="AE11" s="108">
        <f t="shared" si="1"/>
        <v>0</v>
      </c>
      <c r="AF11" s="108" t="e">
        <f>#REF!</f>
        <v>#REF!</v>
      </c>
      <c r="AG11" s="108">
        <f t="shared" si="18"/>
        <v>-17620.990202542918</v>
      </c>
      <c r="AH11" s="108">
        <f t="shared" si="2"/>
        <v>0</v>
      </c>
      <c r="AI11" s="108" t="e">
        <f>#REF!</f>
        <v>#REF!</v>
      </c>
      <c r="AJ11" s="108">
        <f t="shared" si="19"/>
        <v>-17620.990202542918</v>
      </c>
      <c r="AK11" s="108">
        <f t="shared" si="3"/>
        <v>0</v>
      </c>
      <c r="AL11" s="108" t="e">
        <f>#REF!</f>
        <v>#REF!</v>
      </c>
      <c r="AM11" s="108">
        <f t="shared" si="20"/>
        <v>-17620.990202542918</v>
      </c>
      <c r="AN11" s="108">
        <f t="shared" si="4"/>
        <v>0</v>
      </c>
      <c r="AO11" s="108" t="e">
        <f>#REF!</f>
        <v>#REF!</v>
      </c>
    </row>
    <row r="12" spans="1:41" ht="15.75" x14ac:dyDescent="0.5">
      <c r="A12" s="19">
        <v>3</v>
      </c>
      <c r="B12" s="32" t="s">
        <v>41</v>
      </c>
      <c r="C12" s="124">
        <v>32906459.851790708</v>
      </c>
      <c r="D12" s="33">
        <v>2.2843967211694044E-2</v>
      </c>
      <c r="E12" s="33">
        <v>2.2931377292943443E-2</v>
      </c>
      <c r="F12" s="181">
        <f t="shared" si="5"/>
        <v>1.0038263967216978</v>
      </c>
      <c r="G12" s="119"/>
      <c r="H12" s="27">
        <f t="shared" si="6"/>
        <v>-16453229.925895354</v>
      </c>
      <c r="I12" s="27">
        <f t="shared" si="0"/>
        <v>16516186.510945141</v>
      </c>
      <c r="J12" s="37">
        <f t="shared" si="7"/>
        <v>62956.585049787536</v>
      </c>
      <c r="K12" s="2"/>
      <c r="L12" s="108">
        <f t="shared" si="8"/>
        <v>5361082.1645825449</v>
      </c>
      <c r="M12" s="108">
        <f t="shared" si="9"/>
        <v>-5340646.7314376244</v>
      </c>
      <c r="N12" s="108">
        <f t="shared" si="10"/>
        <v>20435.433144920506</v>
      </c>
      <c r="O12" s="2"/>
      <c r="P12" s="108">
        <f t="shared" si="11"/>
        <v>0</v>
      </c>
      <c r="Q12" s="108">
        <f t="shared" si="12"/>
        <v>0</v>
      </c>
      <c r="R12" s="108">
        <f t="shared" si="13"/>
        <v>0</v>
      </c>
      <c r="S12" s="2"/>
      <c r="T12" s="27">
        <f t="shared" si="14"/>
        <v>5361082.1645825449</v>
      </c>
      <c r="U12" s="27">
        <f t="shared" si="15"/>
        <v>0</v>
      </c>
      <c r="V12" s="12"/>
      <c r="W12" s="122">
        <v>598907.09574486502</v>
      </c>
      <c r="X12" s="122">
        <v>-4854640.1482726876</v>
      </c>
      <c r="Y12" s="2"/>
      <c r="Z12" s="108">
        <f t="shared" si="16"/>
        <v>1188741.1302494304</v>
      </c>
      <c r="AA12" s="2"/>
      <c r="AB12" s="108">
        <v>-7228.4953000567593</v>
      </c>
      <c r="AC12" s="12"/>
      <c r="AD12" s="108">
        <f t="shared" si="17"/>
        <v>12591.317009957371</v>
      </c>
      <c r="AE12" s="108">
        <f t="shared" si="1"/>
        <v>0</v>
      </c>
      <c r="AF12" s="108" t="e">
        <f>#REF!</f>
        <v>#REF!</v>
      </c>
      <c r="AG12" s="108">
        <f t="shared" si="18"/>
        <v>12591.317009957371</v>
      </c>
      <c r="AH12" s="108">
        <f t="shared" si="2"/>
        <v>0</v>
      </c>
      <c r="AI12" s="108" t="e">
        <f>#REF!</f>
        <v>#REF!</v>
      </c>
      <c r="AJ12" s="108">
        <f t="shared" si="19"/>
        <v>12591.317009957371</v>
      </c>
      <c r="AK12" s="108">
        <f t="shared" si="3"/>
        <v>0</v>
      </c>
      <c r="AL12" s="108" t="e">
        <f>#REF!</f>
        <v>#REF!</v>
      </c>
      <c r="AM12" s="108">
        <f t="shared" si="20"/>
        <v>12591.317009957371</v>
      </c>
      <c r="AN12" s="108">
        <f t="shared" si="4"/>
        <v>0</v>
      </c>
      <c r="AO12" s="108" t="e">
        <f>#REF!</f>
        <v>#REF!</v>
      </c>
    </row>
    <row r="13" spans="1:41" ht="15.75" x14ac:dyDescent="0.5">
      <c r="A13" s="19">
        <v>1</v>
      </c>
      <c r="B13" s="32" t="s">
        <v>8</v>
      </c>
      <c r="C13" s="124">
        <v>2202320.7754048686</v>
      </c>
      <c r="D13" s="33">
        <v>1.5288713465251007E-3</v>
      </c>
      <c r="E13" s="33">
        <v>1.2476844302198747E-3</v>
      </c>
      <c r="F13" s="181">
        <f t="shared" si="5"/>
        <v>0.81608202878265557</v>
      </c>
      <c r="G13" s="119"/>
      <c r="H13" s="27">
        <f t="shared" si="6"/>
        <v>-1101160.3877024343</v>
      </c>
      <c r="I13" s="27">
        <f t="shared" si="0"/>
        <v>898637.20321129833</v>
      </c>
      <c r="J13" s="37">
        <f t="shared" si="7"/>
        <v>-202523.18449113599</v>
      </c>
      <c r="K13" s="2"/>
      <c r="L13" s="108">
        <f t="shared" si="8"/>
        <v>291693.719937941</v>
      </c>
      <c r="M13" s="108">
        <f t="shared" si="9"/>
        <v>-357431.86303594825</v>
      </c>
      <c r="N13" s="108">
        <f t="shared" si="10"/>
        <v>-65738.143098007247</v>
      </c>
      <c r="O13" s="2"/>
      <c r="P13" s="108">
        <f t="shared" si="11"/>
        <v>0</v>
      </c>
      <c r="Q13" s="108">
        <f t="shared" si="12"/>
        <v>0</v>
      </c>
      <c r="R13" s="108">
        <f t="shared" si="13"/>
        <v>0</v>
      </c>
      <c r="S13" s="2"/>
      <c r="T13" s="27">
        <f t="shared" si="14"/>
        <v>291693.719937941</v>
      </c>
      <c r="U13" s="27">
        <f t="shared" si="15"/>
        <v>0</v>
      </c>
      <c r="V13" s="12"/>
      <c r="W13" s="122">
        <v>96152.36252394761</v>
      </c>
      <c r="X13" s="122">
        <v>-279405.26841799513</v>
      </c>
      <c r="Y13" s="2"/>
      <c r="Z13" s="108">
        <f t="shared" si="16"/>
        <v>-159820.51354524976</v>
      </c>
      <c r="AA13" s="2"/>
      <c r="AB13" s="108">
        <v>-467.91355153990361</v>
      </c>
      <c r="AC13" s="12"/>
      <c r="AD13" s="108">
        <f t="shared" si="17"/>
        <v>-40504.636898227225</v>
      </c>
      <c r="AE13" s="108">
        <f t="shared" si="1"/>
        <v>0</v>
      </c>
      <c r="AF13" s="108" t="e">
        <f>#REF!</f>
        <v>#REF!</v>
      </c>
      <c r="AG13" s="108">
        <f t="shared" si="18"/>
        <v>-40504.636898227225</v>
      </c>
      <c r="AH13" s="108">
        <f t="shared" si="2"/>
        <v>0</v>
      </c>
      <c r="AI13" s="108" t="e">
        <f>#REF!</f>
        <v>#REF!</v>
      </c>
      <c r="AJ13" s="108">
        <f t="shared" si="19"/>
        <v>-40504.636898227225</v>
      </c>
      <c r="AK13" s="108">
        <f t="shared" si="3"/>
        <v>0</v>
      </c>
      <c r="AL13" s="108" t="e">
        <f>#REF!</f>
        <v>#REF!</v>
      </c>
      <c r="AM13" s="108">
        <f t="shared" si="20"/>
        <v>-40504.636898227225</v>
      </c>
      <c r="AN13" s="108">
        <f t="shared" si="4"/>
        <v>0</v>
      </c>
      <c r="AO13" s="108" t="e">
        <f>#REF!</f>
        <v>#REF!</v>
      </c>
    </row>
    <row r="14" spans="1:41" ht="15.75" x14ac:dyDescent="0.5">
      <c r="A14" s="19">
        <v>2</v>
      </c>
      <c r="B14" s="32" t="s">
        <v>20</v>
      </c>
      <c r="C14" s="124">
        <v>5880900.7959721899</v>
      </c>
      <c r="D14" s="33">
        <v>4.0825754445628524E-3</v>
      </c>
      <c r="E14" s="33">
        <v>3.6845842616141009E-3</v>
      </c>
      <c r="F14" s="181">
        <f t="shared" si="5"/>
        <v>0.90251467771923388</v>
      </c>
      <c r="G14" s="119"/>
      <c r="H14" s="27">
        <f t="shared" si="6"/>
        <v>-2940450.3979860949</v>
      </c>
      <c r="I14" s="27">
        <f t="shared" si="0"/>
        <v>2653799.6432878133</v>
      </c>
      <c r="J14" s="37">
        <f t="shared" si="7"/>
        <v>-286650.75469828164</v>
      </c>
      <c r="K14" s="2"/>
      <c r="L14" s="108">
        <f t="shared" si="8"/>
        <v>861411.79906012455</v>
      </c>
      <c r="M14" s="108">
        <f t="shared" si="9"/>
        <v>-954457.38482283568</v>
      </c>
      <c r="N14" s="108">
        <f t="shared" si="10"/>
        <v>-93045.585762711125</v>
      </c>
      <c r="O14" s="2"/>
      <c r="P14" s="108">
        <f t="shared" si="11"/>
        <v>0</v>
      </c>
      <c r="Q14" s="108">
        <f t="shared" si="12"/>
        <v>0</v>
      </c>
      <c r="R14" s="108">
        <f t="shared" si="13"/>
        <v>0</v>
      </c>
      <c r="S14" s="2"/>
      <c r="T14" s="27">
        <f t="shared" si="14"/>
        <v>861411.79906012455</v>
      </c>
      <c r="U14" s="27">
        <f t="shared" si="15"/>
        <v>0</v>
      </c>
      <c r="V14" s="12"/>
      <c r="W14" s="122">
        <v>202552.00063672755</v>
      </c>
      <c r="X14" s="122">
        <v>-790088.64308962005</v>
      </c>
      <c r="Y14" s="2"/>
      <c r="Z14" s="108">
        <f t="shared" si="16"/>
        <v>-105821.18385376071</v>
      </c>
      <c r="AA14" s="2"/>
      <c r="AB14" s="108">
        <v>-1202.1133431066139</v>
      </c>
      <c r="AC14" s="12"/>
      <c r="AD14" s="108">
        <f t="shared" si="17"/>
        <v>-57330.150939656269</v>
      </c>
      <c r="AE14" s="108">
        <f t="shared" si="1"/>
        <v>0</v>
      </c>
      <c r="AF14" s="108" t="e">
        <f>#REF!</f>
        <v>#REF!</v>
      </c>
      <c r="AG14" s="108">
        <f t="shared" si="18"/>
        <v>-57330.150939656269</v>
      </c>
      <c r="AH14" s="108">
        <f t="shared" si="2"/>
        <v>0</v>
      </c>
      <c r="AI14" s="108" t="e">
        <f>#REF!</f>
        <v>#REF!</v>
      </c>
      <c r="AJ14" s="108">
        <f t="shared" si="19"/>
        <v>-57330.150939656269</v>
      </c>
      <c r="AK14" s="108">
        <f t="shared" si="3"/>
        <v>0</v>
      </c>
      <c r="AL14" s="108" t="e">
        <f>#REF!</f>
        <v>#REF!</v>
      </c>
      <c r="AM14" s="108">
        <f t="shared" si="20"/>
        <v>-57330.150939656269</v>
      </c>
      <c r="AN14" s="108">
        <f t="shared" si="4"/>
        <v>0</v>
      </c>
      <c r="AO14" s="108" t="e">
        <f>#REF!</f>
        <v>#REF!</v>
      </c>
    </row>
    <row r="15" spans="1:41" ht="15.75" x14ac:dyDescent="0.5">
      <c r="A15" s="19">
        <v>3</v>
      </c>
      <c r="B15" s="32" t="s">
        <v>42</v>
      </c>
      <c r="C15" s="124">
        <v>34456224.07103245</v>
      </c>
      <c r="D15" s="33">
        <v>2.3919827792554686E-2</v>
      </c>
      <c r="E15" s="33">
        <v>2.8016885784720939E-2</v>
      </c>
      <c r="F15" s="181">
        <f t="shared" si="5"/>
        <v>1.1712829217542071</v>
      </c>
      <c r="G15" s="119"/>
      <c r="H15" s="27">
        <f t="shared" si="6"/>
        <v>-17228112.035516225</v>
      </c>
      <c r="I15" s="27">
        <f t="shared" si="0"/>
        <v>20178993.401268262</v>
      </c>
      <c r="J15" s="37">
        <f t="shared" si="7"/>
        <v>2950881.3657520376</v>
      </c>
      <c r="K15" s="2"/>
      <c r="L15" s="108">
        <f t="shared" si="8"/>
        <v>6550013.3188177142</v>
      </c>
      <c r="M15" s="108">
        <f t="shared" si="9"/>
        <v>-5592170.0873157857</v>
      </c>
      <c r="N15" s="108">
        <f t="shared" si="10"/>
        <v>957843.23150192853</v>
      </c>
      <c r="O15" s="2"/>
      <c r="P15" s="108">
        <f t="shared" si="11"/>
        <v>0</v>
      </c>
      <c r="Q15" s="108">
        <f t="shared" si="12"/>
        <v>0</v>
      </c>
      <c r="R15" s="108">
        <f t="shared" si="13"/>
        <v>0</v>
      </c>
      <c r="S15" s="2"/>
      <c r="T15" s="27">
        <f t="shared" si="14"/>
        <v>6550013.3188177142</v>
      </c>
      <c r="U15" s="27">
        <f t="shared" si="15"/>
        <v>0</v>
      </c>
      <c r="V15" s="12"/>
      <c r="W15" s="122">
        <v>-3000304.29774924</v>
      </c>
      <c r="X15" s="122">
        <v>-8026884.3369285092</v>
      </c>
      <c r="Y15" s="2"/>
      <c r="Z15" s="108">
        <f t="shared" si="16"/>
        <v>-568450.71860606968</v>
      </c>
      <c r="AA15" s="2"/>
      <c r="AB15" s="108">
        <v>-8671.502925864017</v>
      </c>
      <c r="AC15" s="12"/>
      <c r="AD15" s="108">
        <f t="shared" si="17"/>
        <v>590176.27315040794</v>
      </c>
      <c r="AE15" s="108">
        <f t="shared" si="1"/>
        <v>0</v>
      </c>
      <c r="AF15" s="108" t="e">
        <f>#REF!</f>
        <v>#REF!</v>
      </c>
      <c r="AG15" s="108">
        <f t="shared" si="18"/>
        <v>590176.27315040794</v>
      </c>
      <c r="AH15" s="108">
        <f t="shared" si="2"/>
        <v>0</v>
      </c>
      <c r="AI15" s="108" t="e">
        <f>#REF!</f>
        <v>#REF!</v>
      </c>
      <c r="AJ15" s="108">
        <f t="shared" si="19"/>
        <v>590176.27315040794</v>
      </c>
      <c r="AK15" s="108">
        <f t="shared" si="3"/>
        <v>0</v>
      </c>
      <c r="AL15" s="108" t="e">
        <f>#REF!</f>
        <v>#REF!</v>
      </c>
      <c r="AM15" s="108">
        <f t="shared" si="20"/>
        <v>590176.27315040794</v>
      </c>
      <c r="AN15" s="108">
        <f t="shared" si="4"/>
        <v>0</v>
      </c>
      <c r="AO15" s="108" t="e">
        <f>#REF!</f>
        <v>#REF!</v>
      </c>
    </row>
    <row r="16" spans="1:41" ht="15.75" x14ac:dyDescent="0.5">
      <c r="A16" s="19">
        <v>1</v>
      </c>
      <c r="B16" s="32" t="s">
        <v>9</v>
      </c>
      <c r="C16" s="124">
        <v>1811706.7602923557</v>
      </c>
      <c r="D16" s="33">
        <v>1.2577035030728423E-3</v>
      </c>
      <c r="E16" s="33">
        <v>8.6168281314295716E-4</v>
      </c>
      <c r="F16" s="181">
        <f t="shared" si="5"/>
        <v>0.68512396684725718</v>
      </c>
      <c r="G16" s="119"/>
      <c r="H16" s="27">
        <f t="shared" si="6"/>
        <v>-905853.38014617783</v>
      </c>
      <c r="I16" s="27">
        <f t="shared" si="0"/>
        <v>620621.86118774582</v>
      </c>
      <c r="J16" s="37">
        <f t="shared" si="7"/>
        <v>-285231.51895843202</v>
      </c>
      <c r="K16" s="2"/>
      <c r="L16" s="108">
        <f t="shared" si="8"/>
        <v>201451.15149666884</v>
      </c>
      <c r="M16" s="108">
        <f t="shared" si="9"/>
        <v>-294036.05952319677</v>
      </c>
      <c r="N16" s="108">
        <f t="shared" si="10"/>
        <v>-92584.908026527934</v>
      </c>
      <c r="O16" s="2"/>
      <c r="P16" s="108">
        <f t="shared" si="11"/>
        <v>0</v>
      </c>
      <c r="Q16" s="108">
        <f t="shared" si="12"/>
        <v>0</v>
      </c>
      <c r="R16" s="108">
        <f t="shared" si="13"/>
        <v>0</v>
      </c>
      <c r="S16" s="2"/>
      <c r="T16" s="27">
        <f t="shared" si="14"/>
        <v>201451.15149666884</v>
      </c>
      <c r="U16" s="27">
        <f t="shared" si="15"/>
        <v>0</v>
      </c>
      <c r="V16" s="12"/>
      <c r="W16" s="122">
        <v>254350.4737623168</v>
      </c>
      <c r="X16" s="122">
        <v>-87633.4211876716</v>
      </c>
      <c r="Y16" s="2"/>
      <c r="Z16" s="108">
        <f t="shared" si="16"/>
        <v>-9648.2229136459355</v>
      </c>
      <c r="AA16" s="2"/>
      <c r="AB16" s="108">
        <v>-354.48793917919608</v>
      </c>
      <c r="AC16" s="12"/>
      <c r="AD16" s="108">
        <f t="shared" si="17"/>
        <v>-57046.30379168642</v>
      </c>
      <c r="AE16" s="108">
        <f t="shared" si="1"/>
        <v>0</v>
      </c>
      <c r="AF16" s="108" t="e">
        <f>#REF!</f>
        <v>#REF!</v>
      </c>
      <c r="AG16" s="108">
        <f t="shared" si="18"/>
        <v>-57046.30379168642</v>
      </c>
      <c r="AH16" s="108">
        <f t="shared" si="2"/>
        <v>0</v>
      </c>
      <c r="AI16" s="108" t="e">
        <f>#REF!</f>
        <v>#REF!</v>
      </c>
      <c r="AJ16" s="108">
        <f t="shared" si="19"/>
        <v>-57046.30379168642</v>
      </c>
      <c r="AK16" s="108">
        <f t="shared" si="3"/>
        <v>0</v>
      </c>
      <c r="AL16" s="108" t="e">
        <f>#REF!</f>
        <v>#REF!</v>
      </c>
      <c r="AM16" s="108">
        <f t="shared" si="20"/>
        <v>-57046.30379168642</v>
      </c>
      <c r="AN16" s="108">
        <f t="shared" si="4"/>
        <v>0</v>
      </c>
      <c r="AO16" s="108" t="e">
        <f>#REF!</f>
        <v>#REF!</v>
      </c>
    </row>
    <row r="17" spans="1:41" ht="15.75" x14ac:dyDescent="0.5">
      <c r="A17" s="19">
        <v>2</v>
      </c>
      <c r="B17" s="32" t="s">
        <v>21</v>
      </c>
      <c r="C17" s="124">
        <v>5005940.8604989192</v>
      </c>
      <c r="D17" s="33">
        <v>3.4751702065785651E-3</v>
      </c>
      <c r="E17" s="33">
        <v>3.426297749372198E-3</v>
      </c>
      <c r="F17" s="181">
        <f t="shared" si="5"/>
        <v>0.98593667236388871</v>
      </c>
      <c r="G17" s="119"/>
      <c r="H17" s="27">
        <f t="shared" si="6"/>
        <v>-2502970.4302494596</v>
      </c>
      <c r="I17" s="27">
        <f t="shared" si="0"/>
        <v>2467770.3370253625</v>
      </c>
      <c r="J17" s="37">
        <f t="shared" si="7"/>
        <v>-35200.093224097043</v>
      </c>
      <c r="K17" s="2"/>
      <c r="L17" s="108">
        <f t="shared" si="8"/>
        <v>801027.49695549684</v>
      </c>
      <c r="M17" s="108">
        <f t="shared" si="9"/>
        <v>-812453.29381546134</v>
      </c>
      <c r="N17" s="108">
        <f t="shared" si="10"/>
        <v>-11425.796859964496</v>
      </c>
      <c r="O17" s="2"/>
      <c r="P17" s="108">
        <f t="shared" si="11"/>
        <v>0</v>
      </c>
      <c r="Q17" s="108">
        <f t="shared" si="12"/>
        <v>0</v>
      </c>
      <c r="R17" s="108">
        <f t="shared" si="13"/>
        <v>0</v>
      </c>
      <c r="S17" s="2"/>
      <c r="T17" s="27">
        <f t="shared" si="14"/>
        <v>801027.49695549684</v>
      </c>
      <c r="U17" s="27">
        <f t="shared" si="15"/>
        <v>0</v>
      </c>
      <c r="V17" s="12"/>
      <c r="W17" s="122">
        <v>22974.574916241225</v>
      </c>
      <c r="X17" s="122">
        <v>-793809.67657659389</v>
      </c>
      <c r="Y17" s="2"/>
      <c r="Z17" s="108">
        <f t="shared" si="16"/>
        <v>-16433.494788917364</v>
      </c>
      <c r="AA17" s="2"/>
      <c r="AB17" s="108">
        <v>-1123.6026630499355</v>
      </c>
      <c r="AC17" s="12"/>
      <c r="AD17" s="108">
        <f t="shared" si="17"/>
        <v>-7040.0186448193454</v>
      </c>
      <c r="AE17" s="108">
        <f t="shared" si="1"/>
        <v>0</v>
      </c>
      <c r="AF17" s="108" t="e">
        <f>#REF!</f>
        <v>#REF!</v>
      </c>
      <c r="AG17" s="108">
        <f t="shared" si="18"/>
        <v>-7040.0186448193454</v>
      </c>
      <c r="AH17" s="108">
        <f t="shared" si="2"/>
        <v>0</v>
      </c>
      <c r="AI17" s="108" t="e">
        <f>#REF!</f>
        <v>#REF!</v>
      </c>
      <c r="AJ17" s="108">
        <f t="shared" si="19"/>
        <v>-7040.0186448193454</v>
      </c>
      <c r="AK17" s="108">
        <f t="shared" si="3"/>
        <v>0</v>
      </c>
      <c r="AL17" s="108" t="e">
        <f>#REF!</f>
        <v>#REF!</v>
      </c>
      <c r="AM17" s="108">
        <f t="shared" si="20"/>
        <v>-7040.0186448193454</v>
      </c>
      <c r="AN17" s="108">
        <f t="shared" si="4"/>
        <v>0</v>
      </c>
      <c r="AO17" s="108" t="e">
        <f>#REF!</f>
        <v>#REF!</v>
      </c>
    </row>
    <row r="18" spans="1:41" ht="15.75" x14ac:dyDescent="0.5">
      <c r="A18" s="19">
        <v>2</v>
      </c>
      <c r="B18" s="32" t="s">
        <v>22</v>
      </c>
      <c r="C18" s="124">
        <v>6294285.8577341046</v>
      </c>
      <c r="D18" s="33">
        <v>4.369551158122615E-3</v>
      </c>
      <c r="E18" s="33">
        <v>4.8243029384282023E-3</v>
      </c>
      <c r="F18" s="181">
        <f t="shared" si="5"/>
        <v>1.104072881595686</v>
      </c>
      <c r="G18" s="119"/>
      <c r="H18" s="27">
        <f t="shared" si="6"/>
        <v>-3147142.9288670528</v>
      </c>
      <c r="I18" s="27">
        <f t="shared" si="0"/>
        <v>3474675.1622677334</v>
      </c>
      <c r="J18" s="37">
        <f t="shared" si="7"/>
        <v>327532.23340068059</v>
      </c>
      <c r="K18" s="2"/>
      <c r="L18" s="108">
        <f t="shared" si="8"/>
        <v>1127864.4151788231</v>
      </c>
      <c r="M18" s="108">
        <f t="shared" si="9"/>
        <v>-1021548.8795891368</v>
      </c>
      <c r="N18" s="108">
        <f t="shared" si="10"/>
        <v>106315.53558968625</v>
      </c>
      <c r="O18" s="2"/>
      <c r="P18" s="108">
        <f t="shared" si="11"/>
        <v>0</v>
      </c>
      <c r="Q18" s="108">
        <f t="shared" si="12"/>
        <v>0</v>
      </c>
      <c r="R18" s="108">
        <f t="shared" si="13"/>
        <v>0</v>
      </c>
      <c r="S18" s="2"/>
      <c r="T18" s="27">
        <f t="shared" si="14"/>
        <v>1127864.4151788231</v>
      </c>
      <c r="U18" s="27">
        <f t="shared" si="15"/>
        <v>0</v>
      </c>
      <c r="V18" s="12"/>
      <c r="W18" s="122">
        <v>-279110.21673267381</v>
      </c>
      <c r="X18" s="122">
        <v>-1248043.7795902211</v>
      </c>
      <c r="Y18" s="2"/>
      <c r="Z18" s="108">
        <f t="shared" si="16"/>
        <v>34558.18784629507</v>
      </c>
      <c r="AA18" s="2"/>
      <c r="AB18" s="108">
        <v>-1499.6117103063198</v>
      </c>
      <c r="AC18" s="12"/>
      <c r="AD18" s="108">
        <f t="shared" si="17"/>
        <v>65506.446680136207</v>
      </c>
      <c r="AE18" s="108">
        <f t="shared" si="1"/>
        <v>0</v>
      </c>
      <c r="AF18" s="108" t="e">
        <f>#REF!</f>
        <v>#REF!</v>
      </c>
      <c r="AG18" s="108">
        <f t="shared" si="18"/>
        <v>65506.446680136207</v>
      </c>
      <c r="AH18" s="108">
        <f t="shared" si="2"/>
        <v>0</v>
      </c>
      <c r="AI18" s="108" t="e">
        <f>#REF!</f>
        <v>#REF!</v>
      </c>
      <c r="AJ18" s="108">
        <f t="shared" si="19"/>
        <v>65506.446680136207</v>
      </c>
      <c r="AK18" s="108">
        <f t="shared" si="3"/>
        <v>0</v>
      </c>
      <c r="AL18" s="108" t="e">
        <f>#REF!</f>
        <v>#REF!</v>
      </c>
      <c r="AM18" s="108">
        <f t="shared" si="20"/>
        <v>65506.446680136207</v>
      </c>
      <c r="AN18" s="108">
        <f t="shared" si="4"/>
        <v>0</v>
      </c>
      <c r="AO18" s="108" t="e">
        <f>#REF!</f>
        <v>#REF!</v>
      </c>
    </row>
    <row r="19" spans="1:41" ht="15.75" x14ac:dyDescent="0.5">
      <c r="A19" s="19">
        <v>1</v>
      </c>
      <c r="B19" s="32" t="s">
        <v>10</v>
      </c>
      <c r="C19" s="124">
        <v>1722461.193342648</v>
      </c>
      <c r="D19" s="33">
        <v>1.1957484093201114E-3</v>
      </c>
      <c r="E19" s="33">
        <v>8.6382371470886338E-4</v>
      </c>
      <c r="F19" s="181">
        <f t="shared" si="5"/>
        <v>0.72241259781396949</v>
      </c>
      <c r="G19" s="119"/>
      <c r="H19" s="27">
        <f t="shared" si="6"/>
        <v>-861230.59667132399</v>
      </c>
      <c r="I19" s="27">
        <f t="shared" si="0"/>
        <v>622163.83265820611</v>
      </c>
      <c r="J19" s="37">
        <f t="shared" si="7"/>
        <v>-239066.76401311788</v>
      </c>
      <c r="K19" s="2"/>
      <c r="L19" s="108">
        <f t="shared" si="8"/>
        <v>201951.66871613121</v>
      </c>
      <c r="M19" s="108">
        <f t="shared" si="9"/>
        <v>-279551.69847153785</v>
      </c>
      <c r="N19" s="108">
        <f t="shared" si="10"/>
        <v>-77600.029755406635</v>
      </c>
      <c r="O19" s="2"/>
      <c r="P19" s="108">
        <f t="shared" si="11"/>
        <v>0</v>
      </c>
      <c r="Q19" s="108">
        <f t="shared" si="12"/>
        <v>0</v>
      </c>
      <c r="R19" s="108">
        <f t="shared" si="13"/>
        <v>0</v>
      </c>
      <c r="S19" s="2"/>
      <c r="T19" s="27">
        <f t="shared" si="14"/>
        <v>201951.66871613121</v>
      </c>
      <c r="U19" s="27">
        <f t="shared" si="15"/>
        <v>0</v>
      </c>
      <c r="V19" s="12"/>
      <c r="W19" s="122">
        <v>209432.1001362353</v>
      </c>
      <c r="X19" s="122">
        <v>-109599.83095245642</v>
      </c>
      <c r="Y19" s="2"/>
      <c r="Z19" s="108">
        <f t="shared" si="16"/>
        <v>-14882.855868614453</v>
      </c>
      <c r="AA19" s="2"/>
      <c r="AB19" s="108">
        <v>-349.59959709037037</v>
      </c>
      <c r="AC19" s="12"/>
      <c r="AD19" s="108">
        <f t="shared" si="17"/>
        <v>-47813.352802623573</v>
      </c>
      <c r="AE19" s="108">
        <f t="shared" si="1"/>
        <v>0</v>
      </c>
      <c r="AF19" s="108" t="e">
        <f>#REF!</f>
        <v>#REF!</v>
      </c>
      <c r="AG19" s="108">
        <f t="shared" si="18"/>
        <v>-47813.352802623573</v>
      </c>
      <c r="AH19" s="108">
        <f t="shared" si="2"/>
        <v>0</v>
      </c>
      <c r="AI19" s="108" t="e">
        <f>#REF!</f>
        <v>#REF!</v>
      </c>
      <c r="AJ19" s="108">
        <f t="shared" si="19"/>
        <v>-47813.352802623573</v>
      </c>
      <c r="AK19" s="108">
        <f t="shared" si="3"/>
        <v>0</v>
      </c>
      <c r="AL19" s="108" t="e">
        <f>#REF!</f>
        <v>#REF!</v>
      </c>
      <c r="AM19" s="108">
        <f t="shared" si="20"/>
        <v>-47813.352802623573</v>
      </c>
      <c r="AN19" s="108">
        <f t="shared" si="4"/>
        <v>0</v>
      </c>
      <c r="AO19" s="108" t="e">
        <f>#REF!</f>
        <v>#REF!</v>
      </c>
    </row>
    <row r="20" spans="1:41" ht="15.75" x14ac:dyDescent="0.5">
      <c r="A20" s="19">
        <v>3</v>
      </c>
      <c r="B20" s="32" t="s">
        <v>43</v>
      </c>
      <c r="C20" s="124">
        <v>28781785.87400949</v>
      </c>
      <c r="D20" s="33">
        <v>1.9980580583909033E-2</v>
      </c>
      <c r="E20" s="33">
        <v>2.9329886449408871E-2</v>
      </c>
      <c r="F20" s="181">
        <f t="shared" si="5"/>
        <v>1.4679196295741834</v>
      </c>
      <c r="G20" s="119"/>
      <c r="H20" s="27">
        <f t="shared" si="6"/>
        <v>-14390892.937004743</v>
      </c>
      <c r="I20" s="27">
        <f t="shared" si="0"/>
        <v>21124674.229329735</v>
      </c>
      <c r="J20" s="37">
        <f t="shared" si="7"/>
        <v>6733781.2923249919</v>
      </c>
      <c r="K20" s="2"/>
      <c r="L20" s="108">
        <f t="shared" si="8"/>
        <v>6856977.1943678148</v>
      </c>
      <c r="M20" s="108">
        <f t="shared" si="9"/>
        <v>-4671221.1324245976</v>
      </c>
      <c r="N20" s="108">
        <f t="shared" si="10"/>
        <v>2185756.0619432172</v>
      </c>
      <c r="O20" s="2"/>
      <c r="P20" s="108">
        <f t="shared" si="11"/>
        <v>0</v>
      </c>
      <c r="Q20" s="108">
        <f t="shared" si="12"/>
        <v>0</v>
      </c>
      <c r="R20" s="108">
        <f t="shared" si="13"/>
        <v>0</v>
      </c>
      <c r="S20" s="2"/>
      <c r="T20" s="27">
        <f t="shared" si="14"/>
        <v>6856977.1943678148</v>
      </c>
      <c r="U20" s="27">
        <f t="shared" si="15"/>
        <v>0</v>
      </c>
      <c r="V20" s="12"/>
      <c r="W20" s="122">
        <v>-5678720.7958341632</v>
      </c>
      <c r="X20" s="122">
        <v>-9279441.1891573537</v>
      </c>
      <c r="Y20" s="2"/>
      <c r="Z20" s="108">
        <f t="shared" si="16"/>
        <v>818352.56364450604</v>
      </c>
      <c r="AA20" s="2"/>
      <c r="AB20" s="108">
        <v>-8309.3352856486399</v>
      </c>
      <c r="AC20" s="12"/>
      <c r="AD20" s="108">
        <f t="shared" si="17"/>
        <v>1346756.2584649986</v>
      </c>
      <c r="AE20" s="108">
        <f t="shared" si="1"/>
        <v>0</v>
      </c>
      <c r="AF20" s="108" t="e">
        <f>#REF!</f>
        <v>#REF!</v>
      </c>
      <c r="AG20" s="108">
        <f t="shared" si="18"/>
        <v>1346756.2584649986</v>
      </c>
      <c r="AH20" s="108">
        <f t="shared" si="2"/>
        <v>0</v>
      </c>
      <c r="AI20" s="108" t="e">
        <f>#REF!</f>
        <v>#REF!</v>
      </c>
      <c r="AJ20" s="108">
        <f t="shared" si="19"/>
        <v>1346756.2584649986</v>
      </c>
      <c r="AK20" s="108">
        <f t="shared" si="3"/>
        <v>0</v>
      </c>
      <c r="AL20" s="108" t="e">
        <f>#REF!</f>
        <v>#REF!</v>
      </c>
      <c r="AM20" s="108">
        <f t="shared" si="20"/>
        <v>1346756.2584649986</v>
      </c>
      <c r="AN20" s="108">
        <f t="shared" si="4"/>
        <v>0</v>
      </c>
      <c r="AO20" s="108" t="e">
        <f>#REF!</f>
        <v>#REF!</v>
      </c>
    </row>
    <row r="21" spans="1:41" ht="15.75" x14ac:dyDescent="0.5">
      <c r="A21" s="19">
        <v>2</v>
      </c>
      <c r="B21" s="32" t="s">
        <v>23</v>
      </c>
      <c r="C21" s="124">
        <v>4765509.8612895897</v>
      </c>
      <c r="D21" s="33">
        <v>3.3082607946469784E-3</v>
      </c>
      <c r="E21" s="33">
        <v>3.9823734746128247E-3</v>
      </c>
      <c r="F21" s="181">
        <f t="shared" si="5"/>
        <v>1.2037664869276972</v>
      </c>
      <c r="G21" s="119"/>
      <c r="H21" s="27">
        <f t="shared" si="6"/>
        <v>-2382754.9306447948</v>
      </c>
      <c r="I21" s="27">
        <f t="shared" si="0"/>
        <v>2868280.5320719332</v>
      </c>
      <c r="J21" s="37">
        <f t="shared" si="7"/>
        <v>485525.60142713832</v>
      </c>
      <c r="K21" s="2"/>
      <c r="L21" s="108">
        <f t="shared" si="8"/>
        <v>931031.36086044461</v>
      </c>
      <c r="M21" s="108">
        <f t="shared" si="9"/>
        <v>-773431.86653805361</v>
      </c>
      <c r="N21" s="108">
        <f t="shared" si="10"/>
        <v>157599.49432239099</v>
      </c>
      <c r="O21" s="2"/>
      <c r="P21" s="108">
        <f t="shared" si="11"/>
        <v>0</v>
      </c>
      <c r="Q21" s="108">
        <f t="shared" si="12"/>
        <v>0</v>
      </c>
      <c r="R21" s="108">
        <f t="shared" si="13"/>
        <v>0</v>
      </c>
      <c r="S21" s="2"/>
      <c r="T21" s="27">
        <f t="shared" si="14"/>
        <v>931031.36086044461</v>
      </c>
      <c r="U21" s="27">
        <f t="shared" si="15"/>
        <v>0</v>
      </c>
      <c r="V21" s="12"/>
      <c r="W21" s="122">
        <v>-334835.00495630782</v>
      </c>
      <c r="X21" s="122">
        <v>-1045146.8250667055</v>
      </c>
      <c r="Y21" s="2"/>
      <c r="Z21" s="108">
        <f t="shared" si="16"/>
        <v>194174.62658696063</v>
      </c>
      <c r="AA21" s="2"/>
      <c r="AB21" s="108">
        <v>-1195.8538936081193</v>
      </c>
      <c r="AC21" s="12"/>
      <c r="AD21" s="108">
        <f t="shared" si="17"/>
        <v>97105.120285427693</v>
      </c>
      <c r="AE21" s="108">
        <f t="shared" si="1"/>
        <v>0</v>
      </c>
      <c r="AF21" s="108" t="e">
        <f>#REF!</f>
        <v>#REF!</v>
      </c>
      <c r="AG21" s="108">
        <f t="shared" si="18"/>
        <v>97105.120285427693</v>
      </c>
      <c r="AH21" s="108">
        <f t="shared" si="2"/>
        <v>0</v>
      </c>
      <c r="AI21" s="108" t="e">
        <f>#REF!</f>
        <v>#REF!</v>
      </c>
      <c r="AJ21" s="108">
        <f t="shared" si="19"/>
        <v>97105.120285427693</v>
      </c>
      <c r="AK21" s="108">
        <f t="shared" si="3"/>
        <v>0</v>
      </c>
      <c r="AL21" s="108" t="e">
        <f>#REF!</f>
        <v>#REF!</v>
      </c>
      <c r="AM21" s="108">
        <f t="shared" si="20"/>
        <v>97105.120285427693</v>
      </c>
      <c r="AN21" s="108">
        <f t="shared" si="4"/>
        <v>0</v>
      </c>
      <c r="AO21" s="108" t="e">
        <f>#REF!</f>
        <v>#REF!</v>
      </c>
    </row>
    <row r="22" spans="1:41" ht="15.75" x14ac:dyDescent="0.5">
      <c r="A22" s="19">
        <v>2</v>
      </c>
      <c r="B22" s="32" t="s">
        <v>24</v>
      </c>
      <c r="C22" s="124">
        <v>2903720.1400660193</v>
      </c>
      <c r="D22" s="33">
        <v>2.0157892392667727E-3</v>
      </c>
      <c r="E22" s="33">
        <v>1.7503464330814475E-3</v>
      </c>
      <c r="F22" s="181">
        <f t="shared" si="5"/>
        <v>0.86831817482968709</v>
      </c>
      <c r="G22" s="119"/>
      <c r="H22" s="27">
        <f t="shared" si="6"/>
        <v>-1451860.0700330099</v>
      </c>
      <c r="I22" s="27">
        <f t="shared" si="0"/>
        <v>1260676.4861191649</v>
      </c>
      <c r="J22" s="37">
        <f t="shared" si="7"/>
        <v>-191183.58391384501</v>
      </c>
      <c r="K22" s="2"/>
      <c r="L22" s="108">
        <f t="shared" si="8"/>
        <v>409210.09341733856</v>
      </c>
      <c r="M22" s="108">
        <f t="shared" si="9"/>
        <v>-471267.451585476</v>
      </c>
      <c r="N22" s="108">
        <f t="shared" si="10"/>
        <v>-62057.358168137434</v>
      </c>
      <c r="O22" s="2"/>
      <c r="P22" s="108">
        <f t="shared" si="11"/>
        <v>0</v>
      </c>
      <c r="Q22" s="108">
        <f t="shared" si="12"/>
        <v>0</v>
      </c>
      <c r="R22" s="108">
        <f t="shared" si="13"/>
        <v>0</v>
      </c>
      <c r="S22" s="2"/>
      <c r="T22" s="27">
        <f t="shared" si="14"/>
        <v>409210.09341733856</v>
      </c>
      <c r="U22" s="27">
        <f t="shared" si="15"/>
        <v>0</v>
      </c>
      <c r="V22" s="12"/>
      <c r="W22" s="122">
        <v>192865.44295654993</v>
      </c>
      <c r="X22" s="122">
        <v>-314759.24587566091</v>
      </c>
      <c r="Y22" s="2"/>
      <c r="Z22" s="108">
        <f t="shared" si="16"/>
        <v>34075.348416245135</v>
      </c>
      <c r="AA22" s="2"/>
      <c r="AB22" s="108">
        <v>-591.20821460891727</v>
      </c>
      <c r="AC22" s="12"/>
      <c r="AD22" s="108">
        <f t="shared" si="17"/>
        <v>-38236.716782769006</v>
      </c>
      <c r="AE22" s="108">
        <f t="shared" si="1"/>
        <v>0</v>
      </c>
      <c r="AF22" s="108" t="e">
        <f>#REF!</f>
        <v>#REF!</v>
      </c>
      <c r="AG22" s="108">
        <f t="shared" si="18"/>
        <v>-38236.716782769006</v>
      </c>
      <c r="AH22" s="108">
        <f t="shared" si="2"/>
        <v>0</v>
      </c>
      <c r="AI22" s="108" t="e">
        <f>#REF!</f>
        <v>#REF!</v>
      </c>
      <c r="AJ22" s="108">
        <f t="shared" si="19"/>
        <v>-38236.716782769006</v>
      </c>
      <c r="AK22" s="108">
        <f t="shared" si="3"/>
        <v>0</v>
      </c>
      <c r="AL22" s="108" t="e">
        <f>#REF!</f>
        <v>#REF!</v>
      </c>
      <c r="AM22" s="108">
        <f t="shared" si="20"/>
        <v>-38236.716782769006</v>
      </c>
      <c r="AN22" s="108">
        <f t="shared" si="4"/>
        <v>0</v>
      </c>
      <c r="AO22" s="108" t="e">
        <f>#REF!</f>
        <v>#REF!</v>
      </c>
    </row>
    <row r="23" spans="1:41" ht="15.75" x14ac:dyDescent="0.5">
      <c r="A23" s="19">
        <v>1</v>
      </c>
      <c r="B23" s="32" t="s">
        <v>11</v>
      </c>
      <c r="C23" s="124">
        <v>1890662.4820518906</v>
      </c>
      <c r="D23" s="33">
        <v>1.3125152916144862E-3</v>
      </c>
      <c r="E23" s="33">
        <v>9.2582981859460419E-4</v>
      </c>
      <c r="F23" s="181">
        <f t="shared" si="5"/>
        <v>0.70538592922278898</v>
      </c>
      <c r="G23" s="119"/>
      <c r="H23" s="27">
        <f t="shared" si="6"/>
        <v>-945331.24102594517</v>
      </c>
      <c r="I23" s="27">
        <f t="shared" si="0"/>
        <v>666823.35587441863</v>
      </c>
      <c r="J23" s="37">
        <f t="shared" si="7"/>
        <v>-278507.88515152654</v>
      </c>
      <c r="K23" s="2"/>
      <c r="L23" s="108">
        <f t="shared" si="8"/>
        <v>216447.95532772481</v>
      </c>
      <c r="M23" s="108">
        <f t="shared" si="9"/>
        <v>-306850.40112185432</v>
      </c>
      <c r="N23" s="108">
        <f t="shared" si="10"/>
        <v>-90402.445794129511</v>
      </c>
      <c r="O23" s="2"/>
      <c r="P23" s="108">
        <f t="shared" si="11"/>
        <v>0</v>
      </c>
      <c r="Q23" s="108">
        <f t="shared" si="12"/>
        <v>0</v>
      </c>
      <c r="R23" s="108">
        <f t="shared" si="13"/>
        <v>0</v>
      </c>
      <c r="S23" s="2"/>
      <c r="T23" s="27">
        <f t="shared" si="14"/>
        <v>216447.95532772481</v>
      </c>
      <c r="U23" s="27">
        <f t="shared" si="15"/>
        <v>0</v>
      </c>
      <c r="V23" s="12"/>
      <c r="W23" s="122">
        <v>133511.87297513988</v>
      </c>
      <c r="X23" s="122">
        <v>-198506.9708008329</v>
      </c>
      <c r="Y23" s="2"/>
      <c r="Z23" s="108">
        <f t="shared" si="16"/>
        <v>-217457.47344362427</v>
      </c>
      <c r="AA23" s="2"/>
      <c r="AB23" s="108">
        <v>94309.838867491577</v>
      </c>
      <c r="AC23" s="12"/>
      <c r="AD23" s="108">
        <f t="shared" si="17"/>
        <v>-55701.577030305321</v>
      </c>
      <c r="AE23" s="108">
        <f t="shared" si="1"/>
        <v>0</v>
      </c>
      <c r="AF23" s="108" t="e">
        <f>#REF!</f>
        <v>#REF!</v>
      </c>
      <c r="AG23" s="108">
        <f t="shared" si="18"/>
        <v>-55701.577030305321</v>
      </c>
      <c r="AH23" s="108">
        <f t="shared" si="2"/>
        <v>0</v>
      </c>
      <c r="AI23" s="108" t="e">
        <f>#REF!</f>
        <v>#REF!</v>
      </c>
      <c r="AJ23" s="108">
        <f t="shared" si="19"/>
        <v>-55701.577030305321</v>
      </c>
      <c r="AK23" s="108">
        <f t="shared" si="3"/>
        <v>0</v>
      </c>
      <c r="AL23" s="108" t="e">
        <f>#REF!</f>
        <v>#REF!</v>
      </c>
      <c r="AM23" s="108">
        <f t="shared" si="20"/>
        <v>-55701.577030305321</v>
      </c>
      <c r="AN23" s="108">
        <f t="shared" si="4"/>
        <v>0</v>
      </c>
      <c r="AO23" s="108" t="e">
        <f>#REF!</f>
        <v>#REF!</v>
      </c>
    </row>
    <row r="24" spans="1:41" ht="15.75" x14ac:dyDescent="0.5">
      <c r="A24" s="19">
        <v>4</v>
      </c>
      <c r="B24" s="32" t="s">
        <v>54</v>
      </c>
      <c r="C24" s="124">
        <v>392482162.41989702</v>
      </c>
      <c r="D24" s="33">
        <v>0.27246472850244929</v>
      </c>
      <c r="E24" s="33">
        <v>0.29584898549748689</v>
      </c>
      <c r="F24" s="181">
        <f t="shared" si="5"/>
        <v>1.0858248960280648</v>
      </c>
      <c r="G24" s="119"/>
      <c r="H24" s="27">
        <f t="shared" si="6"/>
        <v>-196241081.20994848</v>
      </c>
      <c r="I24" s="27">
        <f t="shared" si="0"/>
        <v>213083451.60122734</v>
      </c>
      <c r="J24" s="37">
        <f t="shared" si="7"/>
        <v>16842370.391278863</v>
      </c>
      <c r="K24" s="2"/>
      <c r="L24" s="108">
        <f t="shared" si="8"/>
        <v>69165959.780727625</v>
      </c>
      <c r="M24" s="108">
        <f t="shared" si="9"/>
        <v>-63698999.750084855</v>
      </c>
      <c r="N24" s="108">
        <f t="shared" si="10"/>
        <v>5466960.0306427702</v>
      </c>
      <c r="O24" s="2"/>
      <c r="P24" s="108">
        <f t="shared" si="11"/>
        <v>0</v>
      </c>
      <c r="Q24" s="108">
        <f t="shared" si="12"/>
        <v>0</v>
      </c>
      <c r="R24" s="108">
        <f t="shared" si="13"/>
        <v>0</v>
      </c>
      <c r="S24" s="2"/>
      <c r="T24" s="27">
        <f t="shared" si="14"/>
        <v>69165959.780727625</v>
      </c>
      <c r="U24" s="27">
        <f t="shared" si="15"/>
        <v>0</v>
      </c>
      <c r="V24" s="12"/>
      <c r="W24" s="122">
        <v>-14770787.259849995</v>
      </c>
      <c r="X24" s="122">
        <v>-75685332.685225248</v>
      </c>
      <c r="Y24" s="2"/>
      <c r="Z24" s="108">
        <f t="shared" si="16"/>
        <v>1019170.2575740218</v>
      </c>
      <c r="AA24" s="2"/>
      <c r="AB24" s="108">
        <v>-92780.965737221617</v>
      </c>
      <c r="AC24" s="12"/>
      <c r="AD24" s="108">
        <f t="shared" si="17"/>
        <v>3368474.0782557679</v>
      </c>
      <c r="AE24" s="108">
        <f t="shared" si="1"/>
        <v>0</v>
      </c>
      <c r="AF24" s="108" t="e">
        <f>#REF!</f>
        <v>#REF!</v>
      </c>
      <c r="AG24" s="108">
        <f t="shared" si="18"/>
        <v>3368474.0782557679</v>
      </c>
      <c r="AH24" s="108">
        <f t="shared" si="2"/>
        <v>0</v>
      </c>
      <c r="AI24" s="108" t="e">
        <f>#REF!</f>
        <v>#REF!</v>
      </c>
      <c r="AJ24" s="108">
        <f t="shared" si="19"/>
        <v>3368474.0782557679</v>
      </c>
      <c r="AK24" s="108">
        <f t="shared" si="3"/>
        <v>0</v>
      </c>
      <c r="AL24" s="108" t="e">
        <f>#REF!</f>
        <v>#REF!</v>
      </c>
      <c r="AM24" s="108">
        <f t="shared" si="20"/>
        <v>3368474.0782557679</v>
      </c>
      <c r="AN24" s="108">
        <f t="shared" si="4"/>
        <v>0</v>
      </c>
      <c r="AO24" s="108" t="e">
        <f>#REF!</f>
        <v>#REF!</v>
      </c>
    </row>
    <row r="25" spans="1:41" ht="15.75" x14ac:dyDescent="0.5">
      <c r="A25" s="19">
        <v>2</v>
      </c>
      <c r="B25" s="32" t="s">
        <v>25</v>
      </c>
      <c r="C25" s="124">
        <v>5953243.5830167094</v>
      </c>
      <c r="D25" s="33">
        <v>4.1327964729776625E-3</v>
      </c>
      <c r="E25" s="33">
        <v>4.0333183590181253E-3</v>
      </c>
      <c r="F25" s="181">
        <f t="shared" si="5"/>
        <v>0.97592958796544282</v>
      </c>
      <c r="G25" s="119"/>
      <c r="H25" s="27">
        <f t="shared" si="6"/>
        <v>-2976621.7915083547</v>
      </c>
      <c r="I25" s="27">
        <f t="shared" si="0"/>
        <v>2904973.2785157068</v>
      </c>
      <c r="J25" s="37">
        <f t="shared" si="7"/>
        <v>-71648.512992647942</v>
      </c>
      <c r="K25" s="2"/>
      <c r="L25" s="108">
        <f t="shared" si="8"/>
        <v>942941.66645059432</v>
      </c>
      <c r="M25" s="108">
        <f t="shared" si="9"/>
        <v>-966198.46152669692</v>
      </c>
      <c r="N25" s="108">
        <f t="shared" si="10"/>
        <v>-23256.7950761026</v>
      </c>
      <c r="O25" s="2"/>
      <c r="P25" s="108">
        <f t="shared" si="11"/>
        <v>0</v>
      </c>
      <c r="Q25" s="108">
        <f t="shared" si="12"/>
        <v>0</v>
      </c>
      <c r="R25" s="108">
        <f t="shared" si="13"/>
        <v>0</v>
      </c>
      <c r="S25" s="2"/>
      <c r="T25" s="27">
        <f t="shared" si="14"/>
        <v>942941.66645059432</v>
      </c>
      <c r="U25" s="27">
        <f t="shared" si="15"/>
        <v>0</v>
      </c>
      <c r="V25" s="12"/>
      <c r="W25" s="122">
        <v>-45556.87729646638</v>
      </c>
      <c r="X25" s="122">
        <v>-1003167.3711152261</v>
      </c>
      <c r="Y25" s="2"/>
      <c r="Z25" s="108">
        <f t="shared" si="16"/>
        <v>-200687.89002984867</v>
      </c>
      <c r="AA25" s="2"/>
      <c r="AB25" s="108">
        <v>-1336.8522538704601</v>
      </c>
      <c r="AC25" s="12"/>
      <c r="AD25" s="108">
        <f t="shared" si="17"/>
        <v>-14329.7025985296</v>
      </c>
      <c r="AE25" s="108">
        <f t="shared" si="1"/>
        <v>0</v>
      </c>
      <c r="AF25" s="108" t="e">
        <f>#REF!</f>
        <v>#REF!</v>
      </c>
      <c r="AG25" s="108">
        <f t="shared" si="18"/>
        <v>-14329.7025985296</v>
      </c>
      <c r="AH25" s="108">
        <f t="shared" si="2"/>
        <v>0</v>
      </c>
      <c r="AI25" s="108" t="e">
        <f>#REF!</f>
        <v>#REF!</v>
      </c>
      <c r="AJ25" s="108">
        <f t="shared" si="19"/>
        <v>-14329.7025985296</v>
      </c>
      <c r="AK25" s="108">
        <f t="shared" si="3"/>
        <v>0</v>
      </c>
      <c r="AL25" s="108" t="e">
        <f>#REF!</f>
        <v>#REF!</v>
      </c>
      <c r="AM25" s="108">
        <f t="shared" si="20"/>
        <v>-14329.7025985296</v>
      </c>
      <c r="AN25" s="108">
        <f t="shared" si="4"/>
        <v>0</v>
      </c>
      <c r="AO25" s="108" t="e">
        <f>#REF!</f>
        <v>#REF!</v>
      </c>
    </row>
    <row r="26" spans="1:41" ht="15.75" x14ac:dyDescent="0.5">
      <c r="A26" s="19">
        <v>2</v>
      </c>
      <c r="B26" s="32" t="s">
        <v>26</v>
      </c>
      <c r="C26" s="124">
        <v>13338797.465928981</v>
      </c>
      <c r="D26" s="33">
        <v>9.259915935275774E-3</v>
      </c>
      <c r="E26" s="33">
        <v>5.6401382758606705E-3</v>
      </c>
      <c r="F26" s="181">
        <f t="shared" si="5"/>
        <v>0.60909173639195668</v>
      </c>
      <c r="G26" s="119"/>
      <c r="H26" s="27">
        <f t="shared" si="6"/>
        <v>-6669398.7329644905</v>
      </c>
      <c r="I26" s="27">
        <f t="shared" si="0"/>
        <v>4062275.6549516572</v>
      </c>
      <c r="J26" s="37">
        <f t="shared" si="7"/>
        <v>-2607123.0780128334</v>
      </c>
      <c r="K26" s="2"/>
      <c r="L26" s="108">
        <f t="shared" si="8"/>
        <v>1318596.9743649345</v>
      </c>
      <c r="M26" s="108">
        <f t="shared" si="9"/>
        <v>-2164857.7637513764</v>
      </c>
      <c r="N26" s="108">
        <f t="shared" si="10"/>
        <v>-846260.78938644193</v>
      </c>
      <c r="O26" s="2"/>
      <c r="P26" s="108">
        <f t="shared" si="11"/>
        <v>0</v>
      </c>
      <c r="Q26" s="108">
        <f t="shared" si="12"/>
        <v>0</v>
      </c>
      <c r="R26" s="108">
        <f t="shared" si="13"/>
        <v>0</v>
      </c>
      <c r="S26" s="2"/>
      <c r="T26" s="27">
        <f t="shared" si="14"/>
        <v>1318596.9743649345</v>
      </c>
      <c r="U26" s="27">
        <f t="shared" si="15"/>
        <v>0</v>
      </c>
      <c r="V26" s="12"/>
      <c r="W26" s="122">
        <v>2130015.1424852279</v>
      </c>
      <c r="X26" s="122">
        <v>-436373.68192339281</v>
      </c>
      <c r="Y26" s="2"/>
      <c r="Z26" s="108">
        <f t="shared" si="16"/>
        <v>-441145.43247250572</v>
      </c>
      <c r="AA26" s="2"/>
      <c r="AB26" s="108">
        <v>-2190.6445579397218</v>
      </c>
      <c r="AC26" s="12"/>
      <c r="AD26" s="108">
        <f t="shared" si="17"/>
        <v>-521424.61560256669</v>
      </c>
      <c r="AE26" s="108">
        <f t="shared" si="1"/>
        <v>0</v>
      </c>
      <c r="AF26" s="108" t="e">
        <f>#REF!</f>
        <v>#REF!</v>
      </c>
      <c r="AG26" s="108">
        <f t="shared" si="18"/>
        <v>-521424.61560256669</v>
      </c>
      <c r="AH26" s="108">
        <f t="shared" si="2"/>
        <v>0</v>
      </c>
      <c r="AI26" s="108" t="e">
        <f>#REF!</f>
        <v>#REF!</v>
      </c>
      <c r="AJ26" s="108">
        <f t="shared" si="19"/>
        <v>-521424.61560256669</v>
      </c>
      <c r="AK26" s="108">
        <f t="shared" si="3"/>
        <v>0</v>
      </c>
      <c r="AL26" s="108" t="e">
        <f>#REF!</f>
        <v>#REF!</v>
      </c>
      <c r="AM26" s="108">
        <f t="shared" si="20"/>
        <v>-521424.61560256669</v>
      </c>
      <c r="AN26" s="108">
        <f t="shared" si="4"/>
        <v>0</v>
      </c>
      <c r="AO26" s="108" t="e">
        <f>#REF!</f>
        <v>#REF!</v>
      </c>
    </row>
    <row r="27" spans="1:41" ht="15.75" x14ac:dyDescent="0.5">
      <c r="A27" s="19">
        <v>1</v>
      </c>
      <c r="B27" s="32" t="s">
        <v>12</v>
      </c>
      <c r="C27" s="124">
        <v>920592.56100504461</v>
      </c>
      <c r="D27" s="33">
        <v>6.390838265084379E-4</v>
      </c>
      <c r="E27" s="33">
        <v>5.4009294127569535E-4</v>
      </c>
      <c r="F27" s="181">
        <f t="shared" si="5"/>
        <v>0.8451050063751917</v>
      </c>
      <c r="G27" s="119"/>
      <c r="H27" s="27">
        <f t="shared" si="6"/>
        <v>-460296.28050252236</v>
      </c>
      <c r="I27" s="27">
        <f t="shared" si="0"/>
        <v>388998.69106856117</v>
      </c>
      <c r="J27" s="37">
        <f t="shared" si="7"/>
        <v>-71297.589433961199</v>
      </c>
      <c r="K27" s="2"/>
      <c r="L27" s="108">
        <f t="shared" si="8"/>
        <v>126267.27988035286</v>
      </c>
      <c r="M27" s="108">
        <f t="shared" si="9"/>
        <v>-149410.16669861658</v>
      </c>
      <c r="N27" s="108">
        <f t="shared" si="10"/>
        <v>-23142.886818263723</v>
      </c>
      <c r="O27" s="2"/>
      <c r="P27" s="108">
        <f t="shared" si="11"/>
        <v>0</v>
      </c>
      <c r="Q27" s="108">
        <f t="shared" si="12"/>
        <v>0</v>
      </c>
      <c r="R27" s="108">
        <f t="shared" si="13"/>
        <v>0</v>
      </c>
      <c r="S27" s="2"/>
      <c r="T27" s="27">
        <f t="shared" si="14"/>
        <v>126267.27988035286</v>
      </c>
      <c r="U27" s="27">
        <f t="shared" si="15"/>
        <v>0</v>
      </c>
      <c r="V27" s="12"/>
      <c r="W27" s="122">
        <v>68668.151779163745</v>
      </c>
      <c r="X27" s="122">
        <v>-93686.70966236903</v>
      </c>
      <c r="Y27" s="2"/>
      <c r="Z27" s="108">
        <f t="shared" si="16"/>
        <v>6808.2457449226495</v>
      </c>
      <c r="AA27" s="2"/>
      <c r="AB27" s="108">
        <v>75746.644373414572</v>
      </c>
      <c r="AC27" s="12"/>
      <c r="AD27" s="108">
        <f t="shared" si="17"/>
        <v>-14259.51788679223</v>
      </c>
      <c r="AE27" s="108">
        <f t="shared" si="1"/>
        <v>0</v>
      </c>
      <c r="AF27" s="108" t="e">
        <f>#REF!</f>
        <v>#REF!</v>
      </c>
      <c r="AG27" s="108">
        <f t="shared" si="18"/>
        <v>-14259.51788679223</v>
      </c>
      <c r="AH27" s="108">
        <f t="shared" si="2"/>
        <v>0</v>
      </c>
      <c r="AI27" s="108" t="e">
        <f>#REF!</f>
        <v>#REF!</v>
      </c>
      <c r="AJ27" s="108">
        <f t="shared" si="19"/>
        <v>-14259.51788679223</v>
      </c>
      <c r="AK27" s="108">
        <f t="shared" si="3"/>
        <v>0</v>
      </c>
      <c r="AL27" s="108" t="e">
        <f>#REF!</f>
        <v>#REF!</v>
      </c>
      <c r="AM27" s="108">
        <f t="shared" si="20"/>
        <v>-14259.51788679223</v>
      </c>
      <c r="AN27" s="108">
        <f t="shared" si="4"/>
        <v>0</v>
      </c>
      <c r="AO27" s="108" t="e">
        <f>#REF!</f>
        <v>#REF!</v>
      </c>
    </row>
    <row r="28" spans="1:41" ht="15.75" x14ac:dyDescent="0.5">
      <c r="A28" s="19">
        <v>2</v>
      </c>
      <c r="B28" s="32" t="s">
        <v>27</v>
      </c>
      <c r="C28" s="124">
        <v>4379075.1719126515</v>
      </c>
      <c r="D28" s="33">
        <v>3.0399942775756333E-3</v>
      </c>
      <c r="E28" s="33">
        <v>2.8450674229883932E-3</v>
      </c>
      <c r="F28" s="181">
        <f t="shared" si="5"/>
        <v>0.93587920344945763</v>
      </c>
      <c r="G28" s="119"/>
      <c r="H28" s="27">
        <f t="shared" si="6"/>
        <v>-2189537.5859563258</v>
      </c>
      <c r="I28" s="27">
        <f t="shared" si="0"/>
        <v>2049142.6918674547</v>
      </c>
      <c r="J28" s="37">
        <f t="shared" si="7"/>
        <v>-140394.89408887108</v>
      </c>
      <c r="K28" s="2"/>
      <c r="L28" s="108">
        <f t="shared" si="8"/>
        <v>665142.78769952105</v>
      </c>
      <c r="M28" s="108">
        <f t="shared" si="9"/>
        <v>-710714.35848552012</v>
      </c>
      <c r="N28" s="108">
        <f t="shared" si="10"/>
        <v>-45571.570785999065</v>
      </c>
      <c r="O28" s="2"/>
      <c r="P28" s="108">
        <f t="shared" si="11"/>
        <v>0</v>
      </c>
      <c r="Q28" s="108">
        <f t="shared" si="12"/>
        <v>0</v>
      </c>
      <c r="R28" s="108">
        <f t="shared" si="13"/>
        <v>0</v>
      </c>
      <c r="S28" s="2"/>
      <c r="T28" s="27">
        <f t="shared" si="14"/>
        <v>665142.78769952105</v>
      </c>
      <c r="U28" s="27">
        <f t="shared" si="15"/>
        <v>0</v>
      </c>
      <c r="V28" s="12"/>
      <c r="W28" s="122">
        <v>113754.71970441821</v>
      </c>
      <c r="X28" s="122">
        <v>-618403.64279151021</v>
      </c>
      <c r="Y28" s="2"/>
      <c r="Z28" s="108">
        <f t="shared" si="16"/>
        <v>-25472.60026244109</v>
      </c>
      <c r="AA28" s="2"/>
      <c r="AB28" s="108">
        <v>-959.03496234162424</v>
      </c>
      <c r="AC28" s="12"/>
      <c r="AD28" s="108">
        <f t="shared" si="17"/>
        <v>-28078.978817774245</v>
      </c>
      <c r="AE28" s="108">
        <f t="shared" si="1"/>
        <v>0</v>
      </c>
      <c r="AF28" s="108" t="e">
        <f>#REF!</f>
        <v>#REF!</v>
      </c>
      <c r="AG28" s="108">
        <f t="shared" si="18"/>
        <v>-28078.978817774245</v>
      </c>
      <c r="AH28" s="108">
        <f t="shared" si="2"/>
        <v>0</v>
      </c>
      <c r="AI28" s="108" t="e">
        <f>#REF!</f>
        <v>#REF!</v>
      </c>
      <c r="AJ28" s="108">
        <f t="shared" si="19"/>
        <v>-28078.978817774245</v>
      </c>
      <c r="AK28" s="108">
        <f t="shared" si="3"/>
        <v>0</v>
      </c>
      <c r="AL28" s="108" t="e">
        <f>#REF!</f>
        <v>#REF!</v>
      </c>
      <c r="AM28" s="108">
        <f t="shared" si="20"/>
        <v>-28078.978817774245</v>
      </c>
      <c r="AN28" s="108">
        <f t="shared" si="4"/>
        <v>0</v>
      </c>
      <c r="AO28" s="108" t="e">
        <f>#REF!</f>
        <v>#REF!</v>
      </c>
    </row>
    <row r="29" spans="1:41" ht="15.75" x14ac:dyDescent="0.5">
      <c r="A29" s="19">
        <v>2</v>
      </c>
      <c r="B29" s="32" t="s">
        <v>28</v>
      </c>
      <c r="C29" s="124">
        <v>9033368.4853606969</v>
      </c>
      <c r="D29" s="33">
        <v>6.2710475213729328E-3</v>
      </c>
      <c r="E29" s="33">
        <v>6.7062408246019532E-3</v>
      </c>
      <c r="F29" s="181">
        <f t="shared" si="5"/>
        <v>1.0693972261804425</v>
      </c>
      <c r="G29" s="119"/>
      <c r="H29" s="27">
        <f t="shared" si="6"/>
        <v>-4516684.2426803485</v>
      </c>
      <c r="I29" s="27">
        <f t="shared" si="0"/>
        <v>4830129.6006552773</v>
      </c>
      <c r="J29" s="37">
        <f t="shared" si="7"/>
        <v>313445.3579749288</v>
      </c>
      <c r="K29" s="2"/>
      <c r="L29" s="108">
        <f t="shared" si="8"/>
        <v>1567839.0188640093</v>
      </c>
      <c r="M29" s="108">
        <f t="shared" si="9"/>
        <v>-1466096.021647491</v>
      </c>
      <c r="N29" s="108">
        <f t="shared" si="10"/>
        <v>101742.99721651827</v>
      </c>
      <c r="O29" s="2"/>
      <c r="P29" s="108">
        <f t="shared" si="11"/>
        <v>0</v>
      </c>
      <c r="Q29" s="108">
        <f t="shared" si="12"/>
        <v>0</v>
      </c>
      <c r="R29" s="108">
        <f t="shared" si="13"/>
        <v>0</v>
      </c>
      <c r="S29" s="2"/>
      <c r="T29" s="27">
        <f t="shared" si="14"/>
        <v>1567839.0188640093</v>
      </c>
      <c r="U29" s="27">
        <f t="shared" si="15"/>
        <v>0</v>
      </c>
      <c r="V29" s="12"/>
      <c r="W29" s="122">
        <v>-448389.53218462551</v>
      </c>
      <c r="X29" s="122">
        <v>-1829959.2418568754</v>
      </c>
      <c r="Y29" s="2"/>
      <c r="Z29" s="108">
        <f t="shared" si="16"/>
        <v>-295321.3999860445</v>
      </c>
      <c r="AA29" s="2"/>
      <c r="AB29" s="108">
        <v>-2059.7973011205631</v>
      </c>
      <c r="AC29" s="12"/>
      <c r="AD29" s="108">
        <f t="shared" si="17"/>
        <v>62689.071594985711</v>
      </c>
      <c r="AE29" s="108">
        <f t="shared" si="1"/>
        <v>0</v>
      </c>
      <c r="AF29" s="108" t="e">
        <f>#REF!</f>
        <v>#REF!</v>
      </c>
      <c r="AG29" s="108">
        <f t="shared" si="18"/>
        <v>62689.071594985711</v>
      </c>
      <c r="AH29" s="108">
        <f t="shared" si="2"/>
        <v>0</v>
      </c>
      <c r="AI29" s="108" t="e">
        <f>#REF!</f>
        <v>#REF!</v>
      </c>
      <c r="AJ29" s="108">
        <f t="shared" si="19"/>
        <v>62689.071594985711</v>
      </c>
      <c r="AK29" s="108">
        <f t="shared" si="3"/>
        <v>0</v>
      </c>
      <c r="AL29" s="108" t="e">
        <f>#REF!</f>
        <v>#REF!</v>
      </c>
      <c r="AM29" s="108">
        <f t="shared" si="20"/>
        <v>62689.071594985711</v>
      </c>
      <c r="AN29" s="108">
        <f t="shared" si="4"/>
        <v>0</v>
      </c>
      <c r="AO29" s="108" t="e">
        <f>#REF!</f>
        <v>#REF!</v>
      </c>
    </row>
    <row r="30" spans="1:41" ht="15.75" x14ac:dyDescent="0.5">
      <c r="A30" s="19">
        <v>1</v>
      </c>
      <c r="B30" s="32" t="s">
        <v>13</v>
      </c>
      <c r="C30" s="124">
        <v>890667.61099476705</v>
      </c>
      <c r="D30" s="33">
        <v>6.1830965086252245E-4</v>
      </c>
      <c r="E30" s="33">
        <v>3.7460908740302533E-4</v>
      </c>
      <c r="F30" s="181">
        <f t="shared" si="5"/>
        <v>0.6058600037706956</v>
      </c>
      <c r="G30" s="119"/>
      <c r="H30" s="27">
        <f t="shared" si="6"/>
        <v>-445333.80549738352</v>
      </c>
      <c r="I30" s="27">
        <f t="shared" si="0"/>
        <v>269809.94107786298</v>
      </c>
      <c r="J30" s="37">
        <f t="shared" si="7"/>
        <v>-175523.86441952054</v>
      </c>
      <c r="K30" s="2"/>
      <c r="L30" s="108">
        <f t="shared" si="8"/>
        <v>87579.13105310555</v>
      </c>
      <c r="M30" s="108">
        <f t="shared" si="9"/>
        <v>-144553.41251780713</v>
      </c>
      <c r="N30" s="108">
        <f t="shared" si="10"/>
        <v>-56974.281464701577</v>
      </c>
      <c r="O30" s="2"/>
      <c r="P30" s="108">
        <f t="shared" si="11"/>
        <v>0</v>
      </c>
      <c r="Q30" s="108">
        <f t="shared" si="12"/>
        <v>0</v>
      </c>
      <c r="R30" s="108">
        <f t="shared" si="13"/>
        <v>0</v>
      </c>
      <c r="S30" s="2"/>
      <c r="T30" s="27">
        <f t="shared" si="14"/>
        <v>87579.13105310555</v>
      </c>
      <c r="U30" s="27">
        <f t="shared" si="15"/>
        <v>0</v>
      </c>
      <c r="V30" s="12"/>
      <c r="W30" s="122">
        <v>148203.36337673609</v>
      </c>
      <c r="X30" s="122">
        <v>-24287.997798187036</v>
      </c>
      <c r="Y30" s="2"/>
      <c r="Z30" s="108">
        <f t="shared" si="16"/>
        <v>-21003.649252567517</v>
      </c>
      <c r="AA30" s="2"/>
      <c r="AB30" s="108">
        <v>3186.8857444176683</v>
      </c>
      <c r="AC30" s="12"/>
      <c r="AD30" s="108">
        <f t="shared" si="17"/>
        <v>-35104.772883904108</v>
      </c>
      <c r="AE30" s="108">
        <f t="shared" si="1"/>
        <v>0</v>
      </c>
      <c r="AF30" s="108" t="e">
        <f>#REF!</f>
        <v>#REF!</v>
      </c>
      <c r="AG30" s="108">
        <f t="shared" si="18"/>
        <v>-35104.772883904108</v>
      </c>
      <c r="AH30" s="108">
        <f t="shared" si="2"/>
        <v>0</v>
      </c>
      <c r="AI30" s="108" t="e">
        <f>#REF!</f>
        <v>#REF!</v>
      </c>
      <c r="AJ30" s="108">
        <f t="shared" si="19"/>
        <v>-35104.772883904108</v>
      </c>
      <c r="AK30" s="108">
        <f t="shared" si="3"/>
        <v>0</v>
      </c>
      <c r="AL30" s="108" t="e">
        <f>#REF!</f>
        <v>#REF!</v>
      </c>
      <c r="AM30" s="108">
        <f t="shared" si="20"/>
        <v>-35104.772883904108</v>
      </c>
      <c r="AN30" s="108">
        <f t="shared" si="4"/>
        <v>0</v>
      </c>
      <c r="AO30" s="108" t="e">
        <f>#REF!</f>
        <v>#REF!</v>
      </c>
    </row>
    <row r="31" spans="1:41" ht="15.75" x14ac:dyDescent="0.5">
      <c r="A31" s="19">
        <v>1</v>
      </c>
      <c r="B31" s="32" t="s">
        <v>14</v>
      </c>
      <c r="C31" s="124">
        <v>1232348.1896589471</v>
      </c>
      <c r="D31" s="33">
        <v>8.5550745248056629E-4</v>
      </c>
      <c r="E31" s="33">
        <v>7.7923511834975152E-4</v>
      </c>
      <c r="F31" s="181">
        <f t="shared" si="5"/>
        <v>0.91084550589283453</v>
      </c>
      <c r="G31" s="119"/>
      <c r="H31" s="27">
        <f t="shared" si="6"/>
        <v>-616174.09482947353</v>
      </c>
      <c r="I31" s="27">
        <f t="shared" si="0"/>
        <v>561239.40512301121</v>
      </c>
      <c r="J31" s="37">
        <f t="shared" si="7"/>
        <v>-54934.689706462319</v>
      </c>
      <c r="K31" s="2"/>
      <c r="L31" s="108">
        <f t="shared" si="8"/>
        <v>182175.86504438857</v>
      </c>
      <c r="M31" s="108">
        <f t="shared" si="9"/>
        <v>-200007.42591995883</v>
      </c>
      <c r="N31" s="108">
        <f t="shared" si="10"/>
        <v>-17831.560875570256</v>
      </c>
      <c r="O31" s="2"/>
      <c r="P31" s="108">
        <f t="shared" si="11"/>
        <v>0</v>
      </c>
      <c r="Q31" s="108">
        <f t="shared" si="12"/>
        <v>0</v>
      </c>
      <c r="R31" s="108">
        <f t="shared" si="13"/>
        <v>0</v>
      </c>
      <c r="S31" s="2"/>
      <c r="T31" s="27">
        <f t="shared" si="14"/>
        <v>182175.86504438857</v>
      </c>
      <c r="U31" s="27">
        <f t="shared" si="15"/>
        <v>0</v>
      </c>
      <c r="V31" s="12"/>
      <c r="W31" s="122">
        <v>38618.478334542597</v>
      </c>
      <c r="X31" s="122">
        <v>-168668.95149587927</v>
      </c>
      <c r="Y31" s="2"/>
      <c r="Z31" s="108">
        <f t="shared" si="16"/>
        <v>-20640.858698980679</v>
      </c>
      <c r="AA31" s="2"/>
      <c r="AB31" s="108">
        <v>124224.73404901498</v>
      </c>
      <c r="AC31" s="12"/>
      <c r="AD31" s="108">
        <f t="shared" si="17"/>
        <v>-10986.937941292461</v>
      </c>
      <c r="AE31" s="108">
        <f t="shared" si="1"/>
        <v>0</v>
      </c>
      <c r="AF31" s="108" t="e">
        <f>#REF!</f>
        <v>#REF!</v>
      </c>
      <c r="AG31" s="108">
        <f t="shared" si="18"/>
        <v>-10986.937941292461</v>
      </c>
      <c r="AH31" s="108">
        <f t="shared" si="2"/>
        <v>0</v>
      </c>
      <c r="AI31" s="108" t="e">
        <f>#REF!</f>
        <v>#REF!</v>
      </c>
      <c r="AJ31" s="108">
        <f t="shared" si="19"/>
        <v>-10986.937941292461</v>
      </c>
      <c r="AK31" s="108">
        <f t="shared" si="3"/>
        <v>0</v>
      </c>
      <c r="AL31" s="108" t="e">
        <f>#REF!</f>
        <v>#REF!</v>
      </c>
      <c r="AM31" s="108">
        <f t="shared" si="20"/>
        <v>-10986.937941292461</v>
      </c>
      <c r="AN31" s="108">
        <f t="shared" si="4"/>
        <v>0</v>
      </c>
      <c r="AO31" s="108" t="e">
        <f>#REF!</f>
        <v>#REF!</v>
      </c>
    </row>
    <row r="32" spans="1:41" ht="15.75" x14ac:dyDescent="0.5">
      <c r="A32" s="19">
        <v>3</v>
      </c>
      <c r="B32" s="32" t="s">
        <v>44</v>
      </c>
      <c r="C32" s="124">
        <v>13009124.302661065</v>
      </c>
      <c r="D32" s="33">
        <v>9.0310537919097832E-3</v>
      </c>
      <c r="E32" s="33">
        <v>9.7271096432420337E-3</v>
      </c>
      <c r="F32" s="181">
        <f t="shared" si="5"/>
        <v>1.077073602634921</v>
      </c>
      <c r="G32" s="119"/>
      <c r="H32" s="27">
        <f t="shared" si="6"/>
        <v>-6504562.1513305325</v>
      </c>
      <c r="I32" s="27">
        <f t="shared" si="0"/>
        <v>7005892.1898963284</v>
      </c>
      <c r="J32" s="37">
        <f t="shared" si="7"/>
        <v>501330.03856579587</v>
      </c>
      <c r="K32" s="2"/>
      <c r="L32" s="108">
        <f t="shared" si="8"/>
        <v>2274082.0734466277</v>
      </c>
      <c r="M32" s="108">
        <f t="shared" si="9"/>
        <v>-2111352.5277041239</v>
      </c>
      <c r="N32" s="108">
        <f t="shared" si="10"/>
        <v>162729.54574250383</v>
      </c>
      <c r="O32" s="2"/>
      <c r="P32" s="108">
        <f t="shared" si="11"/>
        <v>0</v>
      </c>
      <c r="Q32" s="108">
        <f t="shared" si="12"/>
        <v>0</v>
      </c>
      <c r="R32" s="108">
        <f t="shared" si="13"/>
        <v>0</v>
      </c>
      <c r="S32" s="2"/>
      <c r="T32" s="27">
        <f t="shared" si="14"/>
        <v>2274082.0734466277</v>
      </c>
      <c r="U32" s="27">
        <f t="shared" si="15"/>
        <v>0</v>
      </c>
      <c r="V32" s="12"/>
      <c r="W32" s="122">
        <v>-349451.81026455574</v>
      </c>
      <c r="X32" s="122">
        <v>-2394928.8644918092</v>
      </c>
      <c r="Y32" s="2"/>
      <c r="Z32" s="108">
        <f t="shared" si="16"/>
        <v>193760.98299856251</v>
      </c>
      <c r="AA32" s="2"/>
      <c r="AB32" s="108">
        <v>-3088.0644204237519</v>
      </c>
      <c r="AC32" s="12"/>
      <c r="AD32" s="108">
        <f t="shared" si="17"/>
        <v>100266.00771315917</v>
      </c>
      <c r="AE32" s="108">
        <f t="shared" si="1"/>
        <v>0</v>
      </c>
      <c r="AF32" s="108" t="e">
        <f>#REF!</f>
        <v>#REF!</v>
      </c>
      <c r="AG32" s="108">
        <f t="shared" si="18"/>
        <v>100266.00771315917</v>
      </c>
      <c r="AH32" s="108">
        <f t="shared" si="2"/>
        <v>0</v>
      </c>
      <c r="AI32" s="108" t="e">
        <f>#REF!</f>
        <v>#REF!</v>
      </c>
      <c r="AJ32" s="108">
        <f t="shared" si="19"/>
        <v>100266.00771315917</v>
      </c>
      <c r="AK32" s="108">
        <f t="shared" si="3"/>
        <v>0</v>
      </c>
      <c r="AL32" s="108" t="e">
        <f>#REF!</f>
        <v>#REF!</v>
      </c>
      <c r="AM32" s="108">
        <f t="shared" si="20"/>
        <v>100266.00771315917</v>
      </c>
      <c r="AN32" s="108">
        <f t="shared" si="4"/>
        <v>0</v>
      </c>
      <c r="AO32" s="108" t="e">
        <f>#REF!</f>
        <v>#REF!</v>
      </c>
    </row>
    <row r="33" spans="1:41" ht="15.75" x14ac:dyDescent="0.5">
      <c r="A33" s="19">
        <v>2</v>
      </c>
      <c r="B33" s="32" t="s">
        <v>29</v>
      </c>
      <c r="C33" s="124">
        <v>6088977.5380985439</v>
      </c>
      <c r="D33" s="33">
        <v>4.2270242335258465E-3</v>
      </c>
      <c r="E33" s="33">
        <v>3.8448316860551727E-3</v>
      </c>
      <c r="F33" s="181">
        <f t="shared" si="5"/>
        <v>0.90958354474540615</v>
      </c>
      <c r="G33" s="119"/>
      <c r="H33" s="27">
        <f t="shared" si="6"/>
        <v>-3044488.7690492719</v>
      </c>
      <c r="I33" s="27">
        <f t="shared" si="0"/>
        <v>2769216.8864894146</v>
      </c>
      <c r="J33" s="37">
        <f t="shared" si="7"/>
        <v>-275271.88255985733</v>
      </c>
      <c r="K33" s="2"/>
      <c r="L33" s="108">
        <f t="shared" si="8"/>
        <v>898875.73321970447</v>
      </c>
      <c r="M33" s="108">
        <f t="shared" si="9"/>
        <v>-988227.78667494585</v>
      </c>
      <c r="N33" s="108">
        <f t="shared" si="10"/>
        <v>-89352.053455241374</v>
      </c>
      <c r="O33" s="2"/>
      <c r="P33" s="108">
        <f t="shared" si="11"/>
        <v>0</v>
      </c>
      <c r="Q33" s="108">
        <f t="shared" si="12"/>
        <v>0</v>
      </c>
      <c r="R33" s="108">
        <f t="shared" si="13"/>
        <v>0</v>
      </c>
      <c r="S33" s="2"/>
      <c r="T33" s="27">
        <f t="shared" si="14"/>
        <v>898875.73321970447</v>
      </c>
      <c r="U33" s="27">
        <f t="shared" si="15"/>
        <v>0</v>
      </c>
      <c r="V33" s="12"/>
      <c r="W33" s="122">
        <v>222925.8623475763</v>
      </c>
      <c r="X33" s="122">
        <v>-807325.87813453143</v>
      </c>
      <c r="Y33" s="2"/>
      <c r="Z33" s="108">
        <f t="shared" si="16"/>
        <v>-50148.218582349364</v>
      </c>
      <c r="AA33" s="2"/>
      <c r="AB33" s="108">
        <v>-1261.5807767915126</v>
      </c>
      <c r="AC33" s="12"/>
      <c r="AD33" s="108">
        <f t="shared" si="17"/>
        <v>-55054.37651197143</v>
      </c>
      <c r="AE33" s="108">
        <f t="shared" si="1"/>
        <v>0</v>
      </c>
      <c r="AF33" s="108" t="e">
        <f>#REF!</f>
        <v>#REF!</v>
      </c>
      <c r="AG33" s="108">
        <f t="shared" si="18"/>
        <v>-55054.37651197143</v>
      </c>
      <c r="AH33" s="108">
        <f t="shared" si="2"/>
        <v>0</v>
      </c>
      <c r="AI33" s="108" t="e">
        <f>#REF!</f>
        <v>#REF!</v>
      </c>
      <c r="AJ33" s="108">
        <f t="shared" si="19"/>
        <v>-55054.37651197143</v>
      </c>
      <c r="AK33" s="108">
        <f t="shared" si="3"/>
        <v>0</v>
      </c>
      <c r="AL33" s="108" t="e">
        <f>#REF!</f>
        <v>#REF!</v>
      </c>
      <c r="AM33" s="108">
        <f t="shared" si="20"/>
        <v>-55054.37651197143</v>
      </c>
      <c r="AN33" s="108">
        <f t="shared" si="4"/>
        <v>0</v>
      </c>
      <c r="AO33" s="108" t="e">
        <f>#REF!</f>
        <v>#REF!</v>
      </c>
    </row>
    <row r="34" spans="1:41" ht="15.75" x14ac:dyDescent="0.5">
      <c r="A34" s="19">
        <v>2</v>
      </c>
      <c r="B34" s="32" t="s">
        <v>30</v>
      </c>
      <c r="C34" s="124">
        <v>3817224.9629641292</v>
      </c>
      <c r="D34" s="33">
        <v>2.6499526927648916E-3</v>
      </c>
      <c r="E34" s="33">
        <v>2.4042110956836809E-3</v>
      </c>
      <c r="F34" s="181">
        <f t="shared" si="5"/>
        <v>0.90726566638259099</v>
      </c>
      <c r="G34" s="119"/>
      <c r="H34" s="27">
        <f t="shared" si="6"/>
        <v>-1908612.4814820646</v>
      </c>
      <c r="I34" s="27">
        <f t="shared" si="0"/>
        <v>1731618.574877956</v>
      </c>
      <c r="J34" s="37">
        <f t="shared" si="7"/>
        <v>-176993.90660410863</v>
      </c>
      <c r="K34" s="2"/>
      <c r="L34" s="108">
        <f t="shared" si="8"/>
        <v>562075.84308193997</v>
      </c>
      <c r="M34" s="108">
        <f t="shared" si="9"/>
        <v>-619527.29383337451</v>
      </c>
      <c r="N34" s="108">
        <f t="shared" si="10"/>
        <v>-57451.450751434546</v>
      </c>
      <c r="O34" s="2"/>
      <c r="P34" s="108">
        <f t="shared" si="11"/>
        <v>0</v>
      </c>
      <c r="Q34" s="108">
        <f t="shared" si="12"/>
        <v>0</v>
      </c>
      <c r="R34" s="108">
        <f t="shared" si="13"/>
        <v>0</v>
      </c>
      <c r="S34" s="2"/>
      <c r="T34" s="27">
        <f t="shared" si="14"/>
        <v>562075.84308193997</v>
      </c>
      <c r="U34" s="27">
        <f t="shared" si="15"/>
        <v>0</v>
      </c>
      <c r="V34" s="12"/>
      <c r="W34" s="122">
        <v>235622.78805182967</v>
      </c>
      <c r="X34" s="122">
        <v>-428321.96841567493</v>
      </c>
      <c r="Y34" s="2"/>
      <c r="Z34" s="108">
        <f t="shared" si="16"/>
        <v>134931.30536255153</v>
      </c>
      <c r="AA34" s="2"/>
      <c r="AB34" s="108">
        <v>-829.16355545713327</v>
      </c>
      <c r="AC34" s="12"/>
      <c r="AD34" s="108">
        <f t="shared" si="17"/>
        <v>-35398.781320821719</v>
      </c>
      <c r="AE34" s="108">
        <f t="shared" si="1"/>
        <v>0</v>
      </c>
      <c r="AF34" s="108" t="e">
        <f>#REF!</f>
        <v>#REF!</v>
      </c>
      <c r="AG34" s="108">
        <f t="shared" si="18"/>
        <v>-35398.781320821719</v>
      </c>
      <c r="AH34" s="108">
        <f t="shared" si="2"/>
        <v>0</v>
      </c>
      <c r="AI34" s="108" t="e">
        <f>#REF!</f>
        <v>#REF!</v>
      </c>
      <c r="AJ34" s="108">
        <f t="shared" si="19"/>
        <v>-35398.781320821719</v>
      </c>
      <c r="AK34" s="108">
        <f t="shared" si="3"/>
        <v>0</v>
      </c>
      <c r="AL34" s="108" t="e">
        <f>#REF!</f>
        <v>#REF!</v>
      </c>
      <c r="AM34" s="108">
        <f t="shared" si="20"/>
        <v>-35398.781320821719</v>
      </c>
      <c r="AN34" s="108">
        <f t="shared" si="4"/>
        <v>0</v>
      </c>
      <c r="AO34" s="108" t="e">
        <f>#REF!</f>
        <v>#REF!</v>
      </c>
    </row>
    <row r="35" spans="1:41" ht="15.75" x14ac:dyDescent="0.5">
      <c r="A35" s="19">
        <v>4</v>
      </c>
      <c r="B35" s="32" t="s">
        <v>55</v>
      </c>
      <c r="C35" s="124">
        <v>122983490.20381486</v>
      </c>
      <c r="D35" s="33">
        <v>8.537627050886662E-2</v>
      </c>
      <c r="E35" s="33">
        <v>7.0701243178057871E-2</v>
      </c>
      <c r="F35" s="181">
        <f t="shared" si="5"/>
        <v>0.82811351159588664</v>
      </c>
      <c r="G35" s="119"/>
      <c r="H35" s="27">
        <f t="shared" si="6"/>
        <v>-61491745.101907432</v>
      </c>
      <c r="I35" s="27">
        <f t="shared" si="0"/>
        <v>50922144.970499724</v>
      </c>
      <c r="J35" s="37">
        <f t="shared" si="7"/>
        <v>-10569600.131407708</v>
      </c>
      <c r="K35" s="2"/>
      <c r="L35" s="108">
        <f t="shared" si="8"/>
        <v>16529106.340783898</v>
      </c>
      <c r="M35" s="108">
        <f t="shared" si="9"/>
        <v>-19959952.481550593</v>
      </c>
      <c r="N35" s="108">
        <f t="shared" si="10"/>
        <v>-3430846.1407666951</v>
      </c>
      <c r="O35" s="2"/>
      <c r="P35" s="108">
        <f t="shared" si="11"/>
        <v>0</v>
      </c>
      <c r="Q35" s="108">
        <f t="shared" si="12"/>
        <v>0</v>
      </c>
      <c r="R35" s="108">
        <f t="shared" si="13"/>
        <v>0</v>
      </c>
      <c r="S35" s="2"/>
      <c r="T35" s="27">
        <f t="shared" si="14"/>
        <v>16529106.340783898</v>
      </c>
      <c r="U35" s="27">
        <f t="shared" si="15"/>
        <v>0</v>
      </c>
      <c r="V35" s="12"/>
      <c r="W35" s="122">
        <v>7903661.0790719315</v>
      </c>
      <c r="X35" s="122">
        <v>-13546217.625468954</v>
      </c>
      <c r="Y35" s="2"/>
      <c r="Z35" s="108">
        <f t="shared" si="16"/>
        <v>-3113896.4777875282</v>
      </c>
      <c r="AA35" s="2"/>
      <c r="AB35" s="108">
        <v>-24189.103411594479</v>
      </c>
      <c r="AC35" s="12"/>
      <c r="AD35" s="108">
        <f t="shared" si="17"/>
        <v>-2113920.0262815417</v>
      </c>
      <c r="AE35" s="108">
        <f t="shared" si="1"/>
        <v>0</v>
      </c>
      <c r="AF35" s="108" t="e">
        <f>#REF!</f>
        <v>#REF!</v>
      </c>
      <c r="AG35" s="108">
        <f t="shared" si="18"/>
        <v>-2113920.0262815417</v>
      </c>
      <c r="AH35" s="108">
        <f t="shared" si="2"/>
        <v>0</v>
      </c>
      <c r="AI35" s="108" t="e">
        <f>#REF!</f>
        <v>#REF!</v>
      </c>
      <c r="AJ35" s="108">
        <f t="shared" si="19"/>
        <v>-2113920.0262815417</v>
      </c>
      <c r="AK35" s="108">
        <f t="shared" si="3"/>
        <v>0</v>
      </c>
      <c r="AL35" s="108" t="e">
        <f>#REF!</f>
        <v>#REF!</v>
      </c>
      <c r="AM35" s="108">
        <f t="shared" si="20"/>
        <v>-2113920.0262815417</v>
      </c>
      <c r="AN35" s="108">
        <f t="shared" si="4"/>
        <v>0</v>
      </c>
      <c r="AO35" s="108" t="e">
        <f>#REF!</f>
        <v>#REF!</v>
      </c>
    </row>
    <row r="36" spans="1:41" ht="15.75" x14ac:dyDescent="0.5">
      <c r="A36" s="19">
        <v>2</v>
      </c>
      <c r="B36" s="32" t="s">
        <v>31</v>
      </c>
      <c r="C36" s="124">
        <v>11114142.2521811</v>
      </c>
      <c r="D36" s="33">
        <v>7.7155398161468337E-3</v>
      </c>
      <c r="E36" s="33">
        <v>9.1353298247052947E-3</v>
      </c>
      <c r="F36" s="181">
        <f t="shared" si="5"/>
        <v>1.1840169375559659</v>
      </c>
      <c r="G36" s="119"/>
      <c r="H36" s="27">
        <f t="shared" si="6"/>
        <v>-5557071.1260905499</v>
      </c>
      <c r="I36" s="27">
        <f t="shared" si="0"/>
        <v>6579666.336494416</v>
      </c>
      <c r="J36" s="37">
        <f t="shared" si="7"/>
        <v>1022595.2104038661</v>
      </c>
      <c r="K36" s="2"/>
      <c r="L36" s="108">
        <f t="shared" si="8"/>
        <v>2135731.0189073314</v>
      </c>
      <c r="M36" s="108">
        <f t="shared" si="9"/>
        <v>-1803801.0700386448</v>
      </c>
      <c r="N36" s="108">
        <f t="shared" si="10"/>
        <v>331929.94886868657</v>
      </c>
      <c r="O36" s="2"/>
      <c r="P36" s="108">
        <f t="shared" si="11"/>
        <v>0</v>
      </c>
      <c r="Q36" s="108">
        <f t="shared" si="12"/>
        <v>0</v>
      </c>
      <c r="R36" s="108">
        <f t="shared" si="13"/>
        <v>0</v>
      </c>
      <c r="S36" s="2"/>
      <c r="T36" s="27">
        <f t="shared" si="14"/>
        <v>2135731.0189073314</v>
      </c>
      <c r="U36" s="27">
        <f t="shared" si="15"/>
        <v>0</v>
      </c>
      <c r="V36" s="12"/>
      <c r="W36" s="122">
        <v>-729593.95681736711</v>
      </c>
      <c r="X36" s="122">
        <v>-2395858.6171438349</v>
      </c>
      <c r="Y36" s="2"/>
      <c r="Z36" s="108">
        <f t="shared" si="16"/>
        <v>364803.60421868227</v>
      </c>
      <c r="AA36" s="2"/>
      <c r="AB36" s="108">
        <v>-2829.3152599021687</v>
      </c>
      <c r="AC36" s="12"/>
      <c r="AD36" s="108">
        <f t="shared" si="17"/>
        <v>204519.04208077324</v>
      </c>
      <c r="AE36" s="108">
        <f t="shared" si="1"/>
        <v>0</v>
      </c>
      <c r="AF36" s="108" t="e">
        <f>#REF!</f>
        <v>#REF!</v>
      </c>
      <c r="AG36" s="108">
        <f t="shared" si="18"/>
        <v>204519.04208077324</v>
      </c>
      <c r="AH36" s="108">
        <f t="shared" si="2"/>
        <v>0</v>
      </c>
      <c r="AI36" s="108" t="e">
        <f>#REF!</f>
        <v>#REF!</v>
      </c>
      <c r="AJ36" s="108">
        <f t="shared" si="19"/>
        <v>204519.04208077324</v>
      </c>
      <c r="AK36" s="108">
        <f t="shared" si="3"/>
        <v>0</v>
      </c>
      <c r="AL36" s="108" t="e">
        <f>#REF!</f>
        <v>#REF!</v>
      </c>
      <c r="AM36" s="108">
        <f t="shared" si="20"/>
        <v>204519.04208077324</v>
      </c>
      <c r="AN36" s="108">
        <f t="shared" si="4"/>
        <v>0</v>
      </c>
      <c r="AO36" s="108" t="e">
        <f>#REF!</f>
        <v>#REF!</v>
      </c>
    </row>
    <row r="37" spans="1:41" ht="15.75" x14ac:dyDescent="0.5">
      <c r="A37" s="19">
        <v>1</v>
      </c>
      <c r="B37" s="32" t="s">
        <v>15</v>
      </c>
      <c r="C37" s="124">
        <v>1441036.7501439694</v>
      </c>
      <c r="D37" s="33">
        <v>1.000380971377679E-3</v>
      </c>
      <c r="E37" s="33">
        <v>4.8464195948789973E-4</v>
      </c>
      <c r="F37" s="181">
        <f t="shared" si="5"/>
        <v>0.4844573950866668</v>
      </c>
      <c r="G37" s="119"/>
      <c r="H37" s="27">
        <f t="shared" si="6"/>
        <v>-720518.37507198472</v>
      </c>
      <c r="I37" s="27">
        <f t="shared" si="0"/>
        <v>349060.4550994517</v>
      </c>
      <c r="J37" s="37">
        <f t="shared" si="7"/>
        <v>-371457.91997253301</v>
      </c>
      <c r="K37" s="2"/>
      <c r="L37" s="108">
        <f t="shared" si="8"/>
        <v>113303.50253399076</v>
      </c>
      <c r="M37" s="108">
        <f t="shared" si="9"/>
        <v>-233877.12455854108</v>
      </c>
      <c r="N37" s="108">
        <f t="shared" si="10"/>
        <v>-120573.62202455032</v>
      </c>
      <c r="O37" s="2"/>
      <c r="P37" s="108">
        <f t="shared" si="11"/>
        <v>0</v>
      </c>
      <c r="Q37" s="108">
        <f t="shared" si="12"/>
        <v>0</v>
      </c>
      <c r="R37" s="108">
        <f t="shared" si="13"/>
        <v>0</v>
      </c>
      <c r="S37" s="2"/>
      <c r="T37" s="27">
        <f t="shared" si="14"/>
        <v>113303.50253399076</v>
      </c>
      <c r="U37" s="27">
        <f t="shared" si="15"/>
        <v>0</v>
      </c>
      <c r="V37" s="12"/>
      <c r="W37" s="122">
        <v>249686.25511507282</v>
      </c>
      <c r="X37" s="122">
        <v>-31259.448839065633</v>
      </c>
      <c r="Y37" s="2"/>
      <c r="Z37" s="108">
        <f t="shared" si="16"/>
        <v>-160301.23318708537</v>
      </c>
      <c r="AA37" s="2"/>
      <c r="AB37" s="108">
        <v>-203.42529151992639</v>
      </c>
      <c r="AC37" s="12"/>
      <c r="AD37" s="108">
        <f t="shared" si="17"/>
        <v>-74291.583994506611</v>
      </c>
      <c r="AE37" s="108">
        <f t="shared" si="1"/>
        <v>0</v>
      </c>
      <c r="AF37" s="108" t="e">
        <f>#REF!</f>
        <v>#REF!</v>
      </c>
      <c r="AG37" s="108">
        <f t="shared" si="18"/>
        <v>-74291.583994506611</v>
      </c>
      <c r="AH37" s="108">
        <f t="shared" si="2"/>
        <v>0</v>
      </c>
      <c r="AI37" s="108" t="e">
        <f>#REF!</f>
        <v>#REF!</v>
      </c>
      <c r="AJ37" s="108">
        <f t="shared" si="19"/>
        <v>-74291.583994506611</v>
      </c>
      <c r="AK37" s="108">
        <f t="shared" si="3"/>
        <v>0</v>
      </c>
      <c r="AL37" s="108" t="e">
        <f>#REF!</f>
        <v>#REF!</v>
      </c>
      <c r="AM37" s="108">
        <f t="shared" si="20"/>
        <v>-74291.583994506611</v>
      </c>
      <c r="AN37" s="108">
        <f t="shared" si="4"/>
        <v>0</v>
      </c>
      <c r="AO37" s="108" t="e">
        <f>#REF!</f>
        <v>#REF!</v>
      </c>
    </row>
    <row r="38" spans="1:41" ht="15.75" x14ac:dyDescent="0.5">
      <c r="A38" s="19">
        <v>4</v>
      </c>
      <c r="B38" s="32" t="s">
        <v>56</v>
      </c>
      <c r="C38" s="124">
        <v>57140416.701071359</v>
      </c>
      <c r="D38" s="33">
        <v>3.9667403040645713E-2</v>
      </c>
      <c r="E38" s="33">
        <v>5.1125282848687149E-2</v>
      </c>
      <c r="F38" s="181">
        <f t="shared" si="5"/>
        <v>1.2888487506051498</v>
      </c>
      <c r="G38" s="119"/>
      <c r="H38" s="27">
        <f t="shared" si="6"/>
        <v>-28570208.350535676</v>
      </c>
      <c r="I38" s="27">
        <f t="shared" si="0"/>
        <v>36822677.337116726</v>
      </c>
      <c r="J38" s="37">
        <f t="shared" si="7"/>
        <v>8252468.9865810499</v>
      </c>
      <c r="K38" s="2"/>
      <c r="L38" s="108">
        <f t="shared" si="8"/>
        <v>11952480.591895277</v>
      </c>
      <c r="M38" s="108">
        <f t="shared" si="9"/>
        <v>-9273765.1227758545</v>
      </c>
      <c r="N38" s="108">
        <f t="shared" si="10"/>
        <v>2678715.4691194221</v>
      </c>
      <c r="O38" s="2"/>
      <c r="P38" s="108">
        <f t="shared" si="11"/>
        <v>0</v>
      </c>
      <c r="Q38" s="108">
        <f t="shared" si="12"/>
        <v>0</v>
      </c>
      <c r="R38" s="108">
        <f t="shared" si="13"/>
        <v>0</v>
      </c>
      <c r="S38" s="2"/>
      <c r="T38" s="27">
        <f t="shared" si="14"/>
        <v>11952480.591895277</v>
      </c>
      <c r="U38" s="27">
        <f t="shared" si="15"/>
        <v>0</v>
      </c>
      <c r="V38" s="12"/>
      <c r="W38" s="122">
        <v>-6110439.0052038282</v>
      </c>
      <c r="X38" s="122">
        <v>-14232319.802886022</v>
      </c>
      <c r="Y38" s="2"/>
      <c r="Z38" s="108">
        <f t="shared" si="16"/>
        <v>2540906.2395058963</v>
      </c>
      <c r="AA38" s="2"/>
      <c r="AB38" s="108">
        <v>-15525.622093651073</v>
      </c>
      <c r="AC38" s="12"/>
      <c r="AD38" s="108">
        <f t="shared" si="17"/>
        <v>1650493.7973162101</v>
      </c>
      <c r="AE38" s="108">
        <f t="shared" si="1"/>
        <v>0</v>
      </c>
      <c r="AF38" s="108" t="e">
        <f>#REF!</f>
        <v>#REF!</v>
      </c>
      <c r="AG38" s="108">
        <f t="shared" si="18"/>
        <v>1650493.7973162101</v>
      </c>
      <c r="AH38" s="108">
        <f t="shared" si="2"/>
        <v>0</v>
      </c>
      <c r="AI38" s="108" t="e">
        <f>#REF!</f>
        <v>#REF!</v>
      </c>
      <c r="AJ38" s="108">
        <f t="shared" si="19"/>
        <v>1650493.7973162101</v>
      </c>
      <c r="AK38" s="108">
        <f t="shared" si="3"/>
        <v>0</v>
      </c>
      <c r="AL38" s="108" t="e">
        <f>#REF!</f>
        <v>#REF!</v>
      </c>
      <c r="AM38" s="108">
        <f t="shared" si="20"/>
        <v>1650493.7973162101</v>
      </c>
      <c r="AN38" s="108">
        <f t="shared" si="4"/>
        <v>0</v>
      </c>
      <c r="AO38" s="108" t="e">
        <f>#REF!</f>
        <v>#REF!</v>
      </c>
    </row>
    <row r="39" spans="1:41" ht="15.75" x14ac:dyDescent="0.5">
      <c r="A39" s="19">
        <v>4</v>
      </c>
      <c r="B39" s="32" t="s">
        <v>57</v>
      </c>
      <c r="C39" s="124">
        <v>61567979.457991876</v>
      </c>
      <c r="D39" s="33">
        <v>4.2741057845883175E-2</v>
      </c>
      <c r="E39" s="33">
        <v>4.2971311475237597E-2</v>
      </c>
      <c r="F39" s="181">
        <f t="shared" si="5"/>
        <v>1.0053871766624185</v>
      </c>
      <c r="G39" s="119"/>
      <c r="H39" s="27">
        <f t="shared" si="6"/>
        <v>-30783989.728995938</v>
      </c>
      <c r="I39" s="27">
        <f t="shared" si="0"/>
        <v>30949828.520040117</v>
      </c>
      <c r="J39" s="37">
        <f t="shared" si="7"/>
        <v>165838.79104417935</v>
      </c>
      <c r="K39" s="2"/>
      <c r="L39" s="108">
        <f t="shared" si="8"/>
        <v>10046179.459508913</v>
      </c>
      <c r="M39" s="108">
        <f t="shared" si="9"/>
        <v>-9992348.9106546883</v>
      </c>
      <c r="N39" s="108">
        <f t="shared" si="10"/>
        <v>53830.548854224384</v>
      </c>
      <c r="O39" s="2"/>
      <c r="P39" s="108">
        <f t="shared" si="11"/>
        <v>0</v>
      </c>
      <c r="Q39" s="108">
        <f t="shared" si="12"/>
        <v>0</v>
      </c>
      <c r="R39" s="108">
        <f t="shared" si="13"/>
        <v>0</v>
      </c>
      <c r="S39" s="2"/>
      <c r="T39" s="27">
        <f t="shared" si="14"/>
        <v>10046179.459508913</v>
      </c>
      <c r="U39" s="27">
        <f t="shared" si="15"/>
        <v>0</v>
      </c>
      <c r="V39" s="12"/>
      <c r="W39" s="122">
        <v>419571.53221079707</v>
      </c>
      <c r="X39" s="122">
        <v>-9651871.1834548898</v>
      </c>
      <c r="Y39" s="2"/>
      <c r="Z39" s="108">
        <f t="shared" si="16"/>
        <v>1033549.1481632236</v>
      </c>
      <c r="AA39" s="2"/>
      <c r="AB39" s="108">
        <v>-13494.116586586986</v>
      </c>
      <c r="AC39" s="12"/>
      <c r="AD39" s="108">
        <f t="shared" si="17"/>
        <v>33167.758208835759</v>
      </c>
      <c r="AE39" s="108">
        <f t="shared" si="1"/>
        <v>0</v>
      </c>
      <c r="AF39" s="108" t="e">
        <f>#REF!</f>
        <v>#REF!</v>
      </c>
      <c r="AG39" s="108">
        <f t="shared" si="18"/>
        <v>33167.758208835759</v>
      </c>
      <c r="AH39" s="108">
        <f t="shared" si="2"/>
        <v>0</v>
      </c>
      <c r="AI39" s="108" t="e">
        <f>#REF!</f>
        <v>#REF!</v>
      </c>
      <c r="AJ39" s="108">
        <f t="shared" si="19"/>
        <v>33167.758208835759</v>
      </c>
      <c r="AK39" s="108">
        <f t="shared" si="3"/>
        <v>0</v>
      </c>
      <c r="AL39" s="108" t="e">
        <f>#REF!</f>
        <v>#REF!</v>
      </c>
      <c r="AM39" s="108">
        <f t="shared" si="20"/>
        <v>33167.758208835759</v>
      </c>
      <c r="AN39" s="108">
        <f t="shared" si="4"/>
        <v>0</v>
      </c>
      <c r="AO39" s="108" t="e">
        <f>#REF!</f>
        <v>#REF!</v>
      </c>
    </row>
    <row r="40" spans="1:41" ht="15.75" x14ac:dyDescent="0.5">
      <c r="A40" s="19">
        <v>1</v>
      </c>
      <c r="B40" s="32" t="s">
        <v>16</v>
      </c>
      <c r="C40" s="124">
        <v>2496023.873013238</v>
      </c>
      <c r="D40" s="33">
        <v>1.7327627393384621E-3</v>
      </c>
      <c r="E40" s="33">
        <v>1.3243404661386028E-3</v>
      </c>
      <c r="F40" s="181">
        <f t="shared" si="5"/>
        <v>0.76429417373333663</v>
      </c>
      <c r="G40" s="119"/>
      <c r="H40" s="27">
        <f t="shared" si="6"/>
        <v>-1248011.936506619</v>
      </c>
      <c r="I40" s="27">
        <f t="shared" si="0"/>
        <v>953848.25182166777</v>
      </c>
      <c r="J40" s="37">
        <f t="shared" si="7"/>
        <v>-294163.68468495121</v>
      </c>
      <c r="K40" s="2"/>
      <c r="L40" s="108">
        <f t="shared" si="8"/>
        <v>309614.98570935871</v>
      </c>
      <c r="M40" s="108">
        <f t="shared" si="9"/>
        <v>-405099.23580469913</v>
      </c>
      <c r="N40" s="108">
        <f t="shared" si="10"/>
        <v>-95484.250095340423</v>
      </c>
      <c r="O40" s="2"/>
      <c r="P40" s="108">
        <f t="shared" si="11"/>
        <v>0</v>
      </c>
      <c r="Q40" s="108">
        <f t="shared" si="12"/>
        <v>0</v>
      </c>
      <c r="R40" s="108">
        <f t="shared" si="13"/>
        <v>0</v>
      </c>
      <c r="S40" s="2"/>
      <c r="T40" s="27">
        <f t="shared" si="14"/>
        <v>309614.98570935871</v>
      </c>
      <c r="U40" s="27">
        <f t="shared" si="15"/>
        <v>0</v>
      </c>
      <c r="V40" s="12"/>
      <c r="W40" s="122">
        <v>325982.93890553736</v>
      </c>
      <c r="X40" s="122">
        <v>-140567.63243388748</v>
      </c>
      <c r="Y40" s="2"/>
      <c r="Z40" s="108">
        <f t="shared" si="16"/>
        <v>105382.35740071695</v>
      </c>
      <c r="AA40" s="2"/>
      <c r="AB40" s="108">
        <v>-461.27914360307892</v>
      </c>
      <c r="AC40" s="12"/>
      <c r="AD40" s="108">
        <f t="shared" si="17"/>
        <v>-58832.736936990266</v>
      </c>
      <c r="AE40" s="108">
        <f t="shared" si="1"/>
        <v>0</v>
      </c>
      <c r="AF40" s="108" t="e">
        <f>#REF!</f>
        <v>#REF!</v>
      </c>
      <c r="AG40" s="108">
        <f t="shared" si="18"/>
        <v>-58832.736936990266</v>
      </c>
      <c r="AH40" s="108">
        <f t="shared" si="2"/>
        <v>0</v>
      </c>
      <c r="AI40" s="108" t="e">
        <f>#REF!</f>
        <v>#REF!</v>
      </c>
      <c r="AJ40" s="108">
        <f t="shared" si="19"/>
        <v>-58832.736936990266</v>
      </c>
      <c r="AK40" s="108">
        <f t="shared" si="3"/>
        <v>0</v>
      </c>
      <c r="AL40" s="108" t="e">
        <f>#REF!</f>
        <v>#REF!</v>
      </c>
      <c r="AM40" s="108">
        <f t="shared" si="20"/>
        <v>-58832.736936990266</v>
      </c>
      <c r="AN40" s="108">
        <f t="shared" si="4"/>
        <v>0</v>
      </c>
      <c r="AO40" s="108" t="e">
        <f>#REF!</f>
        <v>#REF!</v>
      </c>
    </row>
    <row r="41" spans="1:41" ht="15.75" x14ac:dyDescent="0.5">
      <c r="A41" s="19">
        <v>4</v>
      </c>
      <c r="B41" s="32" t="s">
        <v>58</v>
      </c>
      <c r="C41" s="124">
        <v>61335146.784065619</v>
      </c>
      <c r="D41" s="33">
        <v>4.257942326127765E-2</v>
      </c>
      <c r="E41" s="33">
        <v>5.472683591908574E-2</v>
      </c>
      <c r="F41" s="181">
        <f t="shared" si="5"/>
        <v>1.2852883324245288</v>
      </c>
      <c r="G41" s="119"/>
      <c r="H41" s="27">
        <f t="shared" si="6"/>
        <v>-30667573.39203281</v>
      </c>
      <c r="I41" s="27">
        <f t="shared" si="0"/>
        <v>39416674.264552698</v>
      </c>
      <c r="J41" s="37">
        <f t="shared" si="7"/>
        <v>8749100.872519888</v>
      </c>
      <c r="K41" s="2"/>
      <c r="L41" s="108">
        <f t="shared" si="8"/>
        <v>12794480.6900077</v>
      </c>
      <c r="M41" s="108">
        <f t="shared" si="9"/>
        <v>-9954560.6750141252</v>
      </c>
      <c r="N41" s="108">
        <f t="shared" si="10"/>
        <v>2839920.0149935745</v>
      </c>
      <c r="O41" s="2"/>
      <c r="P41" s="108">
        <f t="shared" si="11"/>
        <v>0</v>
      </c>
      <c r="Q41" s="108">
        <f t="shared" si="12"/>
        <v>0</v>
      </c>
      <c r="R41" s="108">
        <f t="shared" si="13"/>
        <v>0</v>
      </c>
      <c r="S41" s="2"/>
      <c r="T41" s="27">
        <f t="shared" si="14"/>
        <v>12794480.6900077</v>
      </c>
      <c r="U41" s="27">
        <f t="shared" si="15"/>
        <v>0</v>
      </c>
      <c r="V41" s="12"/>
      <c r="W41" s="122">
        <v>-7035711.4315954708</v>
      </c>
      <c r="X41" s="122">
        <v>-15663963.848391943</v>
      </c>
      <c r="Y41" s="2"/>
      <c r="Z41" s="108">
        <f t="shared" si="16"/>
        <v>1683826.2975337468</v>
      </c>
      <c r="AA41" s="2"/>
      <c r="AB41" s="108">
        <v>-16776.204805606772</v>
      </c>
      <c r="AC41" s="12"/>
      <c r="AD41" s="108">
        <f t="shared" si="17"/>
        <v>1749820.1745039776</v>
      </c>
      <c r="AE41" s="108">
        <f t="shared" si="1"/>
        <v>0</v>
      </c>
      <c r="AF41" s="108" t="e">
        <f>#REF!</f>
        <v>#REF!</v>
      </c>
      <c r="AG41" s="108">
        <f t="shared" si="18"/>
        <v>1749820.1745039776</v>
      </c>
      <c r="AH41" s="108">
        <f t="shared" si="2"/>
        <v>0</v>
      </c>
      <c r="AI41" s="108" t="e">
        <f>#REF!</f>
        <v>#REF!</v>
      </c>
      <c r="AJ41" s="108">
        <f t="shared" si="19"/>
        <v>1749820.1745039776</v>
      </c>
      <c r="AK41" s="108">
        <f t="shared" si="3"/>
        <v>0</v>
      </c>
      <c r="AL41" s="108" t="e">
        <f>#REF!</f>
        <v>#REF!</v>
      </c>
      <c r="AM41" s="108">
        <f t="shared" si="20"/>
        <v>1749820.1745039776</v>
      </c>
      <c r="AN41" s="108">
        <f t="shared" si="4"/>
        <v>0</v>
      </c>
      <c r="AO41" s="108" t="e">
        <f>#REF!</f>
        <v>#REF!</v>
      </c>
    </row>
    <row r="42" spans="1:41" ht="15.75" x14ac:dyDescent="0.5">
      <c r="A42" s="19">
        <v>4</v>
      </c>
      <c r="B42" s="32" t="s">
        <v>59</v>
      </c>
      <c r="C42" s="124">
        <v>122736644.19729128</v>
      </c>
      <c r="D42" s="33">
        <v>8.5204907739830998E-2</v>
      </c>
      <c r="E42" s="33">
        <v>6.9575273023679815E-2</v>
      </c>
      <c r="F42" s="181">
        <f t="shared" si="5"/>
        <v>0.81656414952204981</v>
      </c>
      <c r="G42" s="119"/>
      <c r="H42" s="27">
        <f t="shared" si="6"/>
        <v>-61368322.098645642</v>
      </c>
      <c r="I42" s="27">
        <f t="shared" si="0"/>
        <v>50111171.742075793</v>
      </c>
      <c r="J42" s="37">
        <f t="shared" si="7"/>
        <v>-11257150.356569849</v>
      </c>
      <c r="K42" s="2"/>
      <c r="L42" s="108">
        <f t="shared" si="8"/>
        <v>16265867.965025892</v>
      </c>
      <c r="M42" s="108">
        <f t="shared" si="9"/>
        <v>-19919889.912564252</v>
      </c>
      <c r="N42" s="108">
        <f t="shared" si="10"/>
        <v>-3654021.9475383591</v>
      </c>
      <c r="O42" s="2"/>
      <c r="P42" s="108">
        <f t="shared" si="11"/>
        <v>0</v>
      </c>
      <c r="Q42" s="108">
        <f t="shared" si="12"/>
        <v>0</v>
      </c>
      <c r="R42" s="108">
        <f t="shared" si="13"/>
        <v>0</v>
      </c>
      <c r="S42" s="2"/>
      <c r="T42" s="27">
        <f t="shared" si="14"/>
        <v>16265867.965025892</v>
      </c>
      <c r="U42" s="27">
        <f t="shared" si="15"/>
        <v>0</v>
      </c>
      <c r="V42" s="12"/>
      <c r="W42" s="122">
        <v>9271417.0360096022</v>
      </c>
      <c r="X42" s="122">
        <v>-12396235.998990024</v>
      </c>
      <c r="Y42" s="2"/>
      <c r="Z42" s="108">
        <f t="shared" si="16"/>
        <v>-1770123.3020627368</v>
      </c>
      <c r="AA42" s="2"/>
      <c r="AB42" s="108">
        <v>-24293.101840124196</v>
      </c>
      <c r="AC42" s="12"/>
      <c r="AD42" s="108">
        <f t="shared" si="17"/>
        <v>-2251430.0713139703</v>
      </c>
      <c r="AE42" s="108">
        <f t="shared" si="1"/>
        <v>0</v>
      </c>
      <c r="AF42" s="108" t="e">
        <f>#REF!</f>
        <v>#REF!</v>
      </c>
      <c r="AG42" s="108">
        <f t="shared" si="18"/>
        <v>-2251430.0713139703</v>
      </c>
      <c r="AH42" s="108">
        <f t="shared" si="2"/>
        <v>0</v>
      </c>
      <c r="AI42" s="108" t="e">
        <f>#REF!</f>
        <v>#REF!</v>
      </c>
      <c r="AJ42" s="108">
        <f t="shared" si="19"/>
        <v>-2251430.0713139703</v>
      </c>
      <c r="AK42" s="108">
        <f t="shared" si="3"/>
        <v>0</v>
      </c>
      <c r="AL42" s="108" t="e">
        <f>#REF!</f>
        <v>#REF!</v>
      </c>
      <c r="AM42" s="108">
        <f t="shared" si="20"/>
        <v>-2251430.0713139703</v>
      </c>
      <c r="AN42" s="108">
        <f t="shared" si="4"/>
        <v>0</v>
      </c>
      <c r="AO42" s="108" t="e">
        <f>#REF!</f>
        <v>#REF!</v>
      </c>
    </row>
    <row r="43" spans="1:41" ht="15.75" x14ac:dyDescent="0.5">
      <c r="A43" s="19">
        <v>4</v>
      </c>
      <c r="B43" s="32" t="s">
        <v>60</v>
      </c>
      <c r="C43" s="124">
        <v>52988157.306345917</v>
      </c>
      <c r="D43" s="33">
        <v>3.6784866362596015E-2</v>
      </c>
      <c r="E43" s="33">
        <v>2.5217039950521439E-2</v>
      </c>
      <c r="F43" s="181">
        <f t="shared" si="5"/>
        <v>0.68552756728682596</v>
      </c>
      <c r="G43" s="119"/>
      <c r="H43" s="27">
        <f t="shared" si="6"/>
        <v>-26494078.653172959</v>
      </c>
      <c r="I43" s="27">
        <f t="shared" si="0"/>
        <v>18162421.286615483</v>
      </c>
      <c r="J43" s="37">
        <f t="shared" si="7"/>
        <v>-8331657.3665574752</v>
      </c>
      <c r="K43" s="2"/>
      <c r="L43" s="108">
        <f t="shared" si="8"/>
        <v>5895442.7985408232</v>
      </c>
      <c r="M43" s="108">
        <f t="shared" si="9"/>
        <v>-8599862.4707008433</v>
      </c>
      <c r="N43" s="108">
        <f t="shared" si="10"/>
        <v>-2704419.6721600201</v>
      </c>
      <c r="O43" s="2"/>
      <c r="P43" s="108">
        <f t="shared" si="11"/>
        <v>0</v>
      </c>
      <c r="Q43" s="108">
        <f t="shared" si="12"/>
        <v>0</v>
      </c>
      <c r="R43" s="108">
        <f t="shared" si="13"/>
        <v>0</v>
      </c>
      <c r="S43" s="2"/>
      <c r="T43" s="27">
        <f t="shared" si="14"/>
        <v>5895442.7985408232</v>
      </c>
      <c r="U43" s="27">
        <f t="shared" si="15"/>
        <v>0</v>
      </c>
      <c r="V43" s="12"/>
      <c r="W43" s="122">
        <v>4680287.6783217452</v>
      </c>
      <c r="X43" s="122">
        <v>-4801860.0110019539</v>
      </c>
      <c r="Y43" s="2"/>
      <c r="Z43" s="108">
        <f t="shared" si="16"/>
        <v>-5262206.5728568807</v>
      </c>
      <c r="AA43" s="2"/>
      <c r="AB43" s="108">
        <v>-9574.9982711202338</v>
      </c>
      <c r="AC43" s="12"/>
      <c r="AD43" s="108">
        <f t="shared" si="17"/>
        <v>-1666331.4733114948</v>
      </c>
      <c r="AE43" s="108">
        <f t="shared" si="1"/>
        <v>0</v>
      </c>
      <c r="AF43" s="108" t="e">
        <f>#REF!</f>
        <v>#REF!</v>
      </c>
      <c r="AG43" s="108">
        <f t="shared" si="18"/>
        <v>-1666331.4733114948</v>
      </c>
      <c r="AH43" s="108">
        <f t="shared" si="2"/>
        <v>0</v>
      </c>
      <c r="AI43" s="108" t="e">
        <f>#REF!</f>
        <v>#REF!</v>
      </c>
      <c r="AJ43" s="108">
        <f t="shared" si="19"/>
        <v>-1666331.4733114948</v>
      </c>
      <c r="AK43" s="108">
        <f t="shared" si="3"/>
        <v>0</v>
      </c>
      <c r="AL43" s="108" t="e">
        <f>#REF!</f>
        <v>#REF!</v>
      </c>
      <c r="AM43" s="108">
        <f t="shared" si="20"/>
        <v>-1666331.4733114948</v>
      </c>
      <c r="AN43" s="108">
        <f t="shared" si="4"/>
        <v>0</v>
      </c>
      <c r="AO43" s="108" t="e">
        <f>#REF!</f>
        <v>#REF!</v>
      </c>
    </row>
    <row r="44" spans="1:41" ht="15.75" x14ac:dyDescent="0.5">
      <c r="A44" s="19">
        <v>3</v>
      </c>
      <c r="B44" s="32" t="s">
        <v>45</v>
      </c>
      <c r="C44" s="124">
        <v>23639319.572860394</v>
      </c>
      <c r="D44" s="33">
        <v>1.6410633160218038E-2</v>
      </c>
      <c r="E44" s="33">
        <v>2.013671229111437E-2</v>
      </c>
      <c r="F44" s="181">
        <f t="shared" si="5"/>
        <v>1.2270527343167317</v>
      </c>
      <c r="G44" s="119"/>
      <c r="H44" s="27">
        <f t="shared" si="6"/>
        <v>-11819659.786430197</v>
      </c>
      <c r="I44" s="27">
        <f t="shared" si="0"/>
        <v>14503345.85963269</v>
      </c>
      <c r="J44" s="37">
        <f t="shared" si="7"/>
        <v>2683686.0732024927</v>
      </c>
      <c r="K44" s="2"/>
      <c r="L44" s="108">
        <f t="shared" si="8"/>
        <v>4707722.8610443594</v>
      </c>
      <c r="M44" s="108">
        <f t="shared" si="9"/>
        <v>-3836610.0570777771</v>
      </c>
      <c r="N44" s="108">
        <f t="shared" si="10"/>
        <v>871112.80396658229</v>
      </c>
      <c r="O44" s="2"/>
      <c r="P44" s="108">
        <f t="shared" si="11"/>
        <v>0</v>
      </c>
      <c r="Q44" s="108">
        <f t="shared" si="12"/>
        <v>0</v>
      </c>
      <c r="R44" s="108">
        <f t="shared" si="13"/>
        <v>0</v>
      </c>
      <c r="S44" s="2"/>
      <c r="T44" s="27">
        <f t="shared" si="14"/>
        <v>4707722.8610443594</v>
      </c>
      <c r="U44" s="27">
        <f t="shared" si="15"/>
        <v>0</v>
      </c>
      <c r="V44" s="12"/>
      <c r="W44" s="122">
        <v>-1933499.8240175918</v>
      </c>
      <c r="X44" s="122">
        <v>-5405624.0989837246</v>
      </c>
      <c r="Y44" s="2"/>
      <c r="Z44" s="108">
        <f t="shared" si="16"/>
        <v>923397.81521211844</v>
      </c>
      <c r="AA44" s="2"/>
      <c r="AB44" s="108">
        <v>-6190.8705643378789</v>
      </c>
      <c r="AC44" s="12"/>
      <c r="AD44" s="108">
        <f t="shared" si="17"/>
        <v>536737.21464049851</v>
      </c>
      <c r="AE44" s="108">
        <f t="shared" si="1"/>
        <v>0</v>
      </c>
      <c r="AF44" s="108" t="e">
        <f>#REF!</f>
        <v>#REF!</v>
      </c>
      <c r="AG44" s="108">
        <f t="shared" si="18"/>
        <v>536737.21464049851</v>
      </c>
      <c r="AH44" s="108">
        <f t="shared" si="2"/>
        <v>0</v>
      </c>
      <c r="AI44" s="108" t="e">
        <f>#REF!</f>
        <v>#REF!</v>
      </c>
      <c r="AJ44" s="108">
        <f t="shared" si="19"/>
        <v>536737.21464049851</v>
      </c>
      <c r="AK44" s="108">
        <f t="shared" si="3"/>
        <v>0</v>
      </c>
      <c r="AL44" s="108" t="e">
        <f>#REF!</f>
        <v>#REF!</v>
      </c>
      <c r="AM44" s="108">
        <f t="shared" si="20"/>
        <v>536737.21464049851</v>
      </c>
      <c r="AN44" s="108">
        <f t="shared" si="4"/>
        <v>0</v>
      </c>
      <c r="AO44" s="108" t="e">
        <f>#REF!</f>
        <v>#REF!</v>
      </c>
    </row>
    <row r="45" spans="1:41" ht="15.75" x14ac:dyDescent="0.5">
      <c r="A45" s="19">
        <v>2</v>
      </c>
      <c r="B45" s="32" t="s">
        <v>32</v>
      </c>
      <c r="C45" s="124">
        <v>10604941.730444938</v>
      </c>
      <c r="D45" s="33">
        <v>7.362048128645075E-3</v>
      </c>
      <c r="E45" s="33">
        <v>6.9207475751055158E-3</v>
      </c>
      <c r="F45" s="181">
        <f t="shared" si="5"/>
        <v>0.94005736639747062</v>
      </c>
      <c r="G45" s="119"/>
      <c r="H45" s="27">
        <f t="shared" si="6"/>
        <v>-5302470.865222469</v>
      </c>
      <c r="I45" s="27">
        <f t="shared" si="0"/>
        <v>4984626.796960352</v>
      </c>
      <c r="J45" s="37">
        <f t="shared" si="7"/>
        <v>-317844.06826211698</v>
      </c>
      <c r="K45" s="2"/>
      <c r="L45" s="108">
        <f t="shared" si="8"/>
        <v>1617988.1354921276</v>
      </c>
      <c r="M45" s="108">
        <f t="shared" si="9"/>
        <v>-1721158.9348984659</v>
      </c>
      <c r="N45" s="108">
        <f t="shared" si="10"/>
        <v>-103170.79940633825</v>
      </c>
      <c r="O45" s="2"/>
      <c r="P45" s="108">
        <f t="shared" si="11"/>
        <v>0</v>
      </c>
      <c r="Q45" s="108">
        <f t="shared" si="12"/>
        <v>0</v>
      </c>
      <c r="R45" s="108">
        <f t="shared" si="13"/>
        <v>0</v>
      </c>
      <c r="S45" s="2"/>
      <c r="T45" s="27">
        <f t="shared" si="14"/>
        <v>1617988.1354921276</v>
      </c>
      <c r="U45" s="27">
        <f t="shared" si="15"/>
        <v>0</v>
      </c>
      <c r="V45" s="12"/>
      <c r="W45" s="122">
        <v>8117.468975763768</v>
      </c>
      <c r="X45" s="122">
        <v>-1714571.697263635</v>
      </c>
      <c r="Y45" s="2"/>
      <c r="Z45" s="108">
        <f t="shared" si="16"/>
        <v>-509480.96046419884</v>
      </c>
      <c r="AA45" s="2"/>
      <c r="AB45" s="108">
        <v>-2281.7022410231998</v>
      </c>
      <c r="AC45" s="12"/>
      <c r="AD45" s="108">
        <f t="shared" si="17"/>
        <v>-63568.813652423538</v>
      </c>
      <c r="AE45" s="108">
        <f t="shared" si="1"/>
        <v>0</v>
      </c>
      <c r="AF45" s="108" t="e">
        <f>#REF!</f>
        <v>#REF!</v>
      </c>
      <c r="AG45" s="108">
        <f t="shared" si="18"/>
        <v>-63568.813652423538</v>
      </c>
      <c r="AH45" s="108">
        <f t="shared" si="2"/>
        <v>0</v>
      </c>
      <c r="AI45" s="108" t="e">
        <f>#REF!</f>
        <v>#REF!</v>
      </c>
      <c r="AJ45" s="108">
        <f t="shared" si="19"/>
        <v>-63568.813652423538</v>
      </c>
      <c r="AK45" s="108">
        <f t="shared" si="3"/>
        <v>0</v>
      </c>
      <c r="AL45" s="108" t="e">
        <f>#REF!</f>
        <v>#REF!</v>
      </c>
      <c r="AM45" s="108">
        <f t="shared" si="20"/>
        <v>-63568.813652423538</v>
      </c>
      <c r="AN45" s="108">
        <f t="shared" si="4"/>
        <v>0</v>
      </c>
      <c r="AO45" s="108" t="e">
        <f>#REF!</f>
        <v>#REF!</v>
      </c>
    </row>
    <row r="46" spans="1:41" ht="15.75" x14ac:dyDescent="0.5">
      <c r="A46" s="19">
        <v>3</v>
      </c>
      <c r="B46" s="32" t="s">
        <v>46</v>
      </c>
      <c r="C46" s="124">
        <v>29770060.491871126</v>
      </c>
      <c r="D46" s="33">
        <v>2.0666649917050993E-2</v>
      </c>
      <c r="E46" s="33">
        <v>1.8465654060662237E-2</v>
      </c>
      <c r="F46" s="181">
        <f t="shared" si="5"/>
        <v>0.89350011418285902</v>
      </c>
      <c r="G46" s="119"/>
      <c r="H46" s="27">
        <f t="shared" si="6"/>
        <v>-14885030.245935563</v>
      </c>
      <c r="I46" s="27">
        <f t="shared" si="0"/>
        <v>13299776.224358736</v>
      </c>
      <c r="J46" s="37">
        <f t="shared" si="7"/>
        <v>-1585254.0215768274</v>
      </c>
      <c r="K46" s="2"/>
      <c r="L46" s="108">
        <f t="shared" si="8"/>
        <v>4317049.4025420388</v>
      </c>
      <c r="M46" s="108">
        <f t="shared" si="9"/>
        <v>-4831615.9494732115</v>
      </c>
      <c r="N46" s="108">
        <f t="shared" si="10"/>
        <v>-514566.54693117272</v>
      </c>
      <c r="O46" s="2"/>
      <c r="P46" s="108">
        <f t="shared" si="11"/>
        <v>0</v>
      </c>
      <c r="Q46" s="108">
        <f t="shared" si="12"/>
        <v>0</v>
      </c>
      <c r="R46" s="108">
        <f t="shared" si="13"/>
        <v>0</v>
      </c>
      <c r="S46" s="2"/>
      <c r="T46" s="27">
        <f t="shared" si="14"/>
        <v>4317049.4025420388</v>
      </c>
      <c r="U46" s="27">
        <f t="shared" si="15"/>
        <v>0</v>
      </c>
      <c r="V46" s="12"/>
      <c r="W46" s="122">
        <v>1561907.7568524424</v>
      </c>
      <c r="X46" s="122">
        <v>-3564144.821613933</v>
      </c>
      <c r="Y46" s="2"/>
      <c r="Z46" s="108">
        <f t="shared" si="16"/>
        <v>214991.76927254815</v>
      </c>
      <c r="AA46" s="2"/>
      <c r="AB46" s="108">
        <v>-6005.6217130079849</v>
      </c>
      <c r="AC46" s="12"/>
      <c r="AD46" s="108">
        <f t="shared" si="17"/>
        <v>-317050.80431536533</v>
      </c>
      <c r="AE46" s="108">
        <f t="shared" si="1"/>
        <v>0</v>
      </c>
      <c r="AF46" s="108" t="e">
        <f>#REF!</f>
        <v>#REF!</v>
      </c>
      <c r="AG46" s="108">
        <f t="shared" si="18"/>
        <v>-317050.80431536533</v>
      </c>
      <c r="AH46" s="108">
        <f t="shared" si="2"/>
        <v>0</v>
      </c>
      <c r="AI46" s="108" t="e">
        <f>#REF!</f>
        <v>#REF!</v>
      </c>
      <c r="AJ46" s="108">
        <f t="shared" si="19"/>
        <v>-317050.80431536533</v>
      </c>
      <c r="AK46" s="108">
        <f t="shared" si="3"/>
        <v>0</v>
      </c>
      <c r="AL46" s="108" t="e">
        <f>#REF!</f>
        <v>#REF!</v>
      </c>
      <c r="AM46" s="108">
        <f t="shared" si="20"/>
        <v>-317050.80431536533</v>
      </c>
      <c r="AN46" s="108">
        <f t="shared" si="4"/>
        <v>0</v>
      </c>
      <c r="AO46" s="108" t="e">
        <f>#REF!</f>
        <v>#REF!</v>
      </c>
    </row>
    <row r="47" spans="1:41" ht="15.75" x14ac:dyDescent="0.5">
      <c r="A47" s="19">
        <v>3</v>
      </c>
      <c r="B47" s="32" t="s">
        <v>47</v>
      </c>
      <c r="C47" s="124">
        <v>18365325.694206048</v>
      </c>
      <c r="D47" s="33">
        <v>1.2749378081996708E-2</v>
      </c>
      <c r="E47" s="33">
        <v>1.1618188591562086E-2</v>
      </c>
      <c r="F47" s="181">
        <f t="shared" si="5"/>
        <v>0.91127492783103148</v>
      </c>
      <c r="G47" s="119"/>
      <c r="H47" s="27">
        <f t="shared" si="6"/>
        <v>-9182662.8471030239</v>
      </c>
      <c r="I47" s="27">
        <f t="shared" si="0"/>
        <v>8367930.4232905023</v>
      </c>
      <c r="J47" s="37">
        <f t="shared" si="7"/>
        <v>-814732.42381252162</v>
      </c>
      <c r="K47" s="2"/>
      <c r="L47" s="108">
        <f t="shared" si="8"/>
        <v>2716193.7482990553</v>
      </c>
      <c r="M47" s="108">
        <f t="shared" si="9"/>
        <v>-2980652.3424977744</v>
      </c>
      <c r="N47" s="108">
        <f t="shared" si="10"/>
        <v>-264458.59419871913</v>
      </c>
      <c r="O47" s="2"/>
      <c r="P47" s="108">
        <f t="shared" si="11"/>
        <v>0</v>
      </c>
      <c r="Q47" s="108">
        <f t="shared" si="12"/>
        <v>0</v>
      </c>
      <c r="R47" s="108">
        <f t="shared" si="13"/>
        <v>0</v>
      </c>
      <c r="S47" s="2"/>
      <c r="T47" s="27">
        <f t="shared" si="14"/>
        <v>2716193.7482990553</v>
      </c>
      <c r="U47" s="27">
        <f t="shared" si="15"/>
        <v>0</v>
      </c>
      <c r="V47" s="12"/>
      <c r="W47" s="122">
        <v>866144.1686125258</v>
      </c>
      <c r="X47" s="122">
        <v>-2277785.7862215135</v>
      </c>
      <c r="Y47" s="2"/>
      <c r="Z47" s="108">
        <f t="shared" si="16"/>
        <v>225361.11267882679</v>
      </c>
      <c r="AA47" s="2"/>
      <c r="AB47" s="108">
        <v>-3770.6564016124171</v>
      </c>
      <c r="AC47" s="12"/>
      <c r="AD47" s="108">
        <f t="shared" si="17"/>
        <v>-162946.48476250429</v>
      </c>
      <c r="AE47" s="108">
        <f t="shared" si="1"/>
        <v>0</v>
      </c>
      <c r="AF47" s="108" t="e">
        <f>#REF!</f>
        <v>#REF!</v>
      </c>
      <c r="AG47" s="108">
        <f t="shared" si="18"/>
        <v>-162946.48476250429</v>
      </c>
      <c r="AH47" s="108">
        <f t="shared" si="2"/>
        <v>0</v>
      </c>
      <c r="AI47" s="108" t="e">
        <f>#REF!</f>
        <v>#REF!</v>
      </c>
      <c r="AJ47" s="108">
        <f t="shared" si="19"/>
        <v>-162946.48476250429</v>
      </c>
      <c r="AK47" s="108">
        <f t="shared" si="3"/>
        <v>0</v>
      </c>
      <c r="AL47" s="108" t="e">
        <f>#REF!</f>
        <v>#REF!</v>
      </c>
      <c r="AM47" s="108">
        <f t="shared" si="20"/>
        <v>-162946.48476250429</v>
      </c>
      <c r="AN47" s="108">
        <f t="shared" si="4"/>
        <v>0</v>
      </c>
      <c r="AO47" s="108" t="e">
        <f>#REF!</f>
        <v>#REF!</v>
      </c>
    </row>
    <row r="48" spans="1:41" ht="15.75" x14ac:dyDescent="0.5">
      <c r="A48" s="19">
        <v>4</v>
      </c>
      <c r="B48" s="32" t="s">
        <v>61</v>
      </c>
      <c r="C48" s="124">
        <v>74267457.344885796</v>
      </c>
      <c r="D48" s="33">
        <v>5.1557152246814342E-2</v>
      </c>
      <c r="E48" s="33">
        <v>3.8030061251831379E-2</v>
      </c>
      <c r="F48" s="181">
        <f t="shared" si="5"/>
        <v>0.73762920554211198</v>
      </c>
      <c r="G48" s="119"/>
      <c r="H48" s="27">
        <f t="shared" si="6"/>
        <v>-37133728.672442898</v>
      </c>
      <c r="I48" s="27">
        <f t="shared" si="0"/>
        <v>27390922.779470403</v>
      </c>
      <c r="J48" s="37">
        <f t="shared" si="7"/>
        <v>-9742805.8929724954</v>
      </c>
      <c r="K48" s="2"/>
      <c r="L48" s="108">
        <f t="shared" si="8"/>
        <v>8890974.1656867079</v>
      </c>
      <c r="M48" s="108">
        <f t="shared" si="9"/>
        <v>-12053446.499793058</v>
      </c>
      <c r="N48" s="108">
        <f t="shared" si="10"/>
        <v>-3162472.3341063503</v>
      </c>
      <c r="O48" s="2"/>
      <c r="P48" s="108">
        <f t="shared" si="11"/>
        <v>0</v>
      </c>
      <c r="Q48" s="108">
        <f t="shared" si="12"/>
        <v>0</v>
      </c>
      <c r="R48" s="108">
        <f t="shared" si="13"/>
        <v>0</v>
      </c>
      <c r="S48" s="2"/>
      <c r="T48" s="27">
        <f t="shared" si="14"/>
        <v>8890974.1656867079</v>
      </c>
      <c r="U48" s="27">
        <f t="shared" si="15"/>
        <v>0</v>
      </c>
      <c r="V48" s="12"/>
      <c r="W48" s="122">
        <v>7851839.5311955437</v>
      </c>
      <c r="X48" s="122">
        <v>-5681764.2652226044</v>
      </c>
      <c r="Y48" s="2"/>
      <c r="Z48" s="108">
        <f t="shared" si="16"/>
        <v>-1844228.7954191985</v>
      </c>
      <c r="AA48" s="2"/>
      <c r="AB48" s="108">
        <v>-13861.166033576568</v>
      </c>
      <c r="AC48" s="12"/>
      <c r="AD48" s="108">
        <f t="shared" si="17"/>
        <v>-1948561.1785944996</v>
      </c>
      <c r="AE48" s="108">
        <f t="shared" si="1"/>
        <v>0</v>
      </c>
      <c r="AF48" s="108" t="e">
        <f>#REF!</f>
        <v>#REF!</v>
      </c>
      <c r="AG48" s="108">
        <f t="shared" si="18"/>
        <v>-1948561.1785944996</v>
      </c>
      <c r="AH48" s="108">
        <f t="shared" si="2"/>
        <v>0</v>
      </c>
      <c r="AI48" s="108" t="e">
        <f>#REF!</f>
        <v>#REF!</v>
      </c>
      <c r="AJ48" s="108">
        <f t="shared" si="19"/>
        <v>-1948561.1785944996</v>
      </c>
      <c r="AK48" s="108">
        <f t="shared" si="3"/>
        <v>0</v>
      </c>
      <c r="AL48" s="108" t="e">
        <f>#REF!</f>
        <v>#REF!</v>
      </c>
      <c r="AM48" s="108">
        <f t="shared" si="20"/>
        <v>-1948561.1785944996</v>
      </c>
      <c r="AN48" s="108">
        <f t="shared" si="4"/>
        <v>0</v>
      </c>
      <c r="AO48" s="108" t="e">
        <f>#REF!</f>
        <v>#REF!</v>
      </c>
    </row>
    <row r="49" spans="1:41" ht="15.75" x14ac:dyDescent="0.5">
      <c r="A49" s="19">
        <v>2</v>
      </c>
      <c r="B49" s="32" t="s">
        <v>33</v>
      </c>
      <c r="C49" s="124">
        <v>9910385.7397711948</v>
      </c>
      <c r="D49" s="33">
        <v>6.8798809690934753E-3</v>
      </c>
      <c r="E49" s="33">
        <v>6.6590620256619937E-3</v>
      </c>
      <c r="F49" s="181">
        <f t="shared" si="5"/>
        <v>0.96790366803968442</v>
      </c>
      <c r="G49" s="119"/>
      <c r="H49" s="27">
        <f t="shared" si="6"/>
        <v>-4955192.8698855974</v>
      </c>
      <c r="I49" s="27">
        <f t="shared" si="0"/>
        <v>4796149.3546063602</v>
      </c>
      <c r="J49" s="37">
        <f t="shared" si="7"/>
        <v>-159043.51527923718</v>
      </c>
      <c r="K49" s="2"/>
      <c r="L49" s="108">
        <f t="shared" si="8"/>
        <v>1556809.1790810637</v>
      </c>
      <c r="M49" s="108">
        <f t="shared" si="9"/>
        <v>-1608434.0110355213</v>
      </c>
      <c r="N49" s="108">
        <f t="shared" si="10"/>
        <v>-51624.831954457564</v>
      </c>
      <c r="O49" s="2"/>
      <c r="P49" s="108">
        <f t="shared" si="11"/>
        <v>0</v>
      </c>
      <c r="Q49" s="108">
        <f t="shared" si="12"/>
        <v>0</v>
      </c>
      <c r="R49" s="108">
        <f t="shared" si="13"/>
        <v>0</v>
      </c>
      <c r="S49" s="2"/>
      <c r="T49" s="27">
        <f t="shared" si="14"/>
        <v>1556809.1790810637</v>
      </c>
      <c r="U49" s="27">
        <f t="shared" si="15"/>
        <v>0</v>
      </c>
      <c r="V49" s="12"/>
      <c r="W49" s="122">
        <v>173511.16445206059</v>
      </c>
      <c r="X49" s="122">
        <v>-1467631.5914692003</v>
      </c>
      <c r="Y49" s="2"/>
      <c r="Z49" s="108">
        <f t="shared" si="16"/>
        <v>52020.404830229236</v>
      </c>
      <c r="AA49" s="2"/>
      <c r="AB49" s="108">
        <v>-2166.6913452588738</v>
      </c>
      <c r="AC49" s="12"/>
      <c r="AD49" s="108">
        <f t="shared" si="17"/>
        <v>-31808.703055847363</v>
      </c>
      <c r="AE49" s="108">
        <f t="shared" si="1"/>
        <v>0</v>
      </c>
      <c r="AF49" s="108" t="e">
        <f>#REF!</f>
        <v>#REF!</v>
      </c>
      <c r="AG49" s="108">
        <f t="shared" si="18"/>
        <v>-31808.703055847363</v>
      </c>
      <c r="AH49" s="108">
        <f t="shared" si="2"/>
        <v>0</v>
      </c>
      <c r="AI49" s="108" t="e">
        <f>#REF!</f>
        <v>#REF!</v>
      </c>
      <c r="AJ49" s="108">
        <f t="shared" si="19"/>
        <v>-31808.703055847363</v>
      </c>
      <c r="AK49" s="108">
        <f t="shared" si="3"/>
        <v>0</v>
      </c>
      <c r="AL49" s="108" t="e">
        <f>#REF!</f>
        <v>#REF!</v>
      </c>
      <c r="AM49" s="108">
        <f t="shared" si="20"/>
        <v>-31808.703055847363</v>
      </c>
      <c r="AN49" s="108">
        <f t="shared" si="4"/>
        <v>0</v>
      </c>
      <c r="AO49" s="108" t="e">
        <f>#REF!</f>
        <v>#REF!</v>
      </c>
    </row>
    <row r="50" spans="1:41" ht="15.75" x14ac:dyDescent="0.5">
      <c r="A50" s="19">
        <v>2</v>
      </c>
      <c r="B50" s="32" t="s">
        <v>34</v>
      </c>
      <c r="C50" s="124">
        <v>7409091.8599020718</v>
      </c>
      <c r="D50" s="33">
        <v>5.143459742504684E-3</v>
      </c>
      <c r="E50" s="33">
        <v>5.8478464297102321E-3</v>
      </c>
      <c r="F50" s="181">
        <f t="shared" si="5"/>
        <v>1.1369480315719427</v>
      </c>
      <c r="G50" s="119"/>
      <c r="H50" s="27">
        <f t="shared" si="6"/>
        <v>-3704545.9299510354</v>
      </c>
      <c r="I50" s="27">
        <f t="shared" si="0"/>
        <v>4211876.2029256821</v>
      </c>
      <c r="J50" s="37">
        <f t="shared" si="7"/>
        <v>507330.27297464665</v>
      </c>
      <c r="K50" s="2"/>
      <c r="L50" s="108">
        <f t="shared" si="8"/>
        <v>1367156.6602841886</v>
      </c>
      <c r="M50" s="108">
        <f t="shared" si="9"/>
        <v>-1202479.4646013498</v>
      </c>
      <c r="N50" s="108">
        <f t="shared" si="10"/>
        <v>164677.19568283879</v>
      </c>
      <c r="O50" s="2"/>
      <c r="P50" s="108">
        <f t="shared" si="11"/>
        <v>0</v>
      </c>
      <c r="Q50" s="108">
        <f t="shared" si="12"/>
        <v>0</v>
      </c>
      <c r="R50" s="108">
        <f t="shared" si="13"/>
        <v>0</v>
      </c>
      <c r="S50" s="2"/>
      <c r="T50" s="27">
        <f t="shared" si="14"/>
        <v>1367156.6602841886</v>
      </c>
      <c r="U50" s="27">
        <f t="shared" si="15"/>
        <v>0</v>
      </c>
      <c r="V50" s="12"/>
      <c r="W50" s="122">
        <v>-278741.78301041108</v>
      </c>
      <c r="X50" s="122">
        <v>-1428675.3846508665</v>
      </c>
      <c r="Y50" s="2"/>
      <c r="Z50" s="108">
        <f t="shared" si="16"/>
        <v>331746.96128039644</v>
      </c>
      <c r="AA50" s="2"/>
      <c r="AB50" s="108">
        <v>-1901.4387736499305</v>
      </c>
      <c r="AC50" s="12"/>
      <c r="AD50" s="108">
        <f t="shared" si="17"/>
        <v>101466.0545949293</v>
      </c>
      <c r="AE50" s="108">
        <f t="shared" si="1"/>
        <v>0</v>
      </c>
      <c r="AF50" s="108" t="e">
        <f>#REF!</f>
        <v>#REF!</v>
      </c>
      <c r="AG50" s="108">
        <f t="shared" si="18"/>
        <v>101466.0545949293</v>
      </c>
      <c r="AH50" s="108">
        <f t="shared" si="2"/>
        <v>0</v>
      </c>
      <c r="AI50" s="108" t="e">
        <f>#REF!</f>
        <v>#REF!</v>
      </c>
      <c r="AJ50" s="108">
        <f t="shared" si="19"/>
        <v>101466.0545949293</v>
      </c>
      <c r="AK50" s="108">
        <f t="shared" si="3"/>
        <v>0</v>
      </c>
      <c r="AL50" s="108" t="e">
        <f>#REF!</f>
        <v>#REF!</v>
      </c>
      <c r="AM50" s="108">
        <f t="shared" si="20"/>
        <v>101466.0545949293</v>
      </c>
      <c r="AN50" s="108">
        <f t="shared" si="4"/>
        <v>0</v>
      </c>
      <c r="AO50" s="108" t="e">
        <f>#REF!</f>
        <v>#REF!</v>
      </c>
    </row>
    <row r="51" spans="1:41" ht="15.75" x14ac:dyDescent="0.5">
      <c r="A51" s="19">
        <v>1</v>
      </c>
      <c r="B51" s="32" t="s">
        <v>17</v>
      </c>
      <c r="C51" s="124">
        <v>542215.13545166003</v>
      </c>
      <c r="D51" s="33">
        <v>3.7641073612079619E-4</v>
      </c>
      <c r="E51" s="33">
        <v>1.5720772157127663E-4</v>
      </c>
      <c r="F51" s="181">
        <f t="shared" si="5"/>
        <v>0.41764940923689853</v>
      </c>
      <c r="G51" s="119"/>
      <c r="H51" s="27">
        <f t="shared" si="6"/>
        <v>-271107.56772583001</v>
      </c>
      <c r="I51" s="27">
        <f t="shared" si="0"/>
        <v>113227.91550034536</v>
      </c>
      <c r="J51" s="37">
        <f t="shared" si="7"/>
        <v>-157879.65222548466</v>
      </c>
      <c r="K51" s="2"/>
      <c r="L51" s="108">
        <f t="shared" si="8"/>
        <v>36753.287928753474</v>
      </c>
      <c r="M51" s="108">
        <f t="shared" si="9"/>
        <v>-88000.335008031368</v>
      </c>
      <c r="N51" s="108">
        <f t="shared" si="10"/>
        <v>-51247.047079277894</v>
      </c>
      <c r="O51" s="2"/>
      <c r="P51" s="108">
        <f t="shared" si="11"/>
        <v>0</v>
      </c>
      <c r="Q51" s="108">
        <f t="shared" si="12"/>
        <v>0</v>
      </c>
      <c r="R51" s="108">
        <f t="shared" si="13"/>
        <v>0</v>
      </c>
      <c r="S51" s="2"/>
      <c r="T51" s="27">
        <f t="shared" si="14"/>
        <v>36753.287928753474</v>
      </c>
      <c r="U51" s="27">
        <f t="shared" si="15"/>
        <v>0</v>
      </c>
      <c r="V51" s="12"/>
      <c r="W51" s="122">
        <v>130924.7885068914</v>
      </c>
      <c r="X51" s="122">
        <v>18243.70445302923</v>
      </c>
      <c r="Y51" s="2"/>
      <c r="Z51" s="108">
        <f t="shared" si="16"/>
        <v>-23204.918416088451</v>
      </c>
      <c r="AA51" s="2"/>
      <c r="AB51" s="108">
        <v>13352.51141608844</v>
      </c>
      <c r="AC51" s="12"/>
      <c r="AD51" s="108">
        <f t="shared" si="17"/>
        <v>-31575.930445096928</v>
      </c>
      <c r="AE51" s="108">
        <f t="shared" si="1"/>
        <v>0</v>
      </c>
      <c r="AF51" s="108" t="e">
        <f>#REF!</f>
        <v>#REF!</v>
      </c>
      <c r="AG51" s="108">
        <f t="shared" si="18"/>
        <v>-31575.930445096928</v>
      </c>
      <c r="AH51" s="108">
        <f t="shared" si="2"/>
        <v>0</v>
      </c>
      <c r="AI51" s="108" t="e">
        <f>#REF!</f>
        <v>#REF!</v>
      </c>
      <c r="AJ51" s="108">
        <f t="shared" si="19"/>
        <v>-31575.930445096928</v>
      </c>
      <c r="AK51" s="108">
        <f t="shared" si="3"/>
        <v>0</v>
      </c>
      <c r="AL51" s="108" t="e">
        <f>#REF!</f>
        <v>#REF!</v>
      </c>
      <c r="AM51" s="108">
        <f t="shared" si="20"/>
        <v>-31575.930445096928</v>
      </c>
      <c r="AN51" s="108">
        <f t="shared" si="4"/>
        <v>0</v>
      </c>
      <c r="AO51" s="108" t="e">
        <f>#REF!</f>
        <v>#REF!</v>
      </c>
    </row>
    <row r="52" spans="1:41" ht="15.75" x14ac:dyDescent="0.5">
      <c r="A52" s="19">
        <v>2</v>
      </c>
      <c r="B52" s="32" t="s">
        <v>35</v>
      </c>
      <c r="C52" s="124">
        <v>3254627.3015056946</v>
      </c>
      <c r="D52" s="33">
        <v>2.2593922195442255E-3</v>
      </c>
      <c r="E52" s="33">
        <v>1.2791924312486552E-3</v>
      </c>
      <c r="F52" s="181">
        <f t="shared" si="5"/>
        <v>0.56616660895942161</v>
      </c>
      <c r="G52" s="119"/>
      <c r="H52" s="27">
        <f t="shared" si="6"/>
        <v>-1627313.6507528473</v>
      </c>
      <c r="I52" s="27">
        <f t="shared" si="0"/>
        <v>921330.65136011608</v>
      </c>
      <c r="J52" s="37">
        <f t="shared" si="7"/>
        <v>-705982.99939273123</v>
      </c>
      <c r="K52" s="2"/>
      <c r="L52" s="108">
        <f t="shared" si="8"/>
        <v>299059.91430992162</v>
      </c>
      <c r="M52" s="108">
        <f t="shared" si="9"/>
        <v>-528218.91926755395</v>
      </c>
      <c r="N52" s="108">
        <f t="shared" si="10"/>
        <v>-229159.00495763234</v>
      </c>
      <c r="O52" s="2"/>
      <c r="P52" s="108">
        <f t="shared" si="11"/>
        <v>0</v>
      </c>
      <c r="Q52" s="108">
        <f t="shared" si="12"/>
        <v>0</v>
      </c>
      <c r="R52" s="108">
        <f t="shared" si="13"/>
        <v>0</v>
      </c>
      <c r="S52" s="2"/>
      <c r="T52" s="27">
        <f t="shared" si="14"/>
        <v>299059.91430992162</v>
      </c>
      <c r="U52" s="27">
        <f t="shared" si="15"/>
        <v>0</v>
      </c>
      <c r="V52" s="12"/>
      <c r="W52" s="122">
        <v>568425.10277287359</v>
      </c>
      <c r="X52" s="122">
        <v>-66948.141301166062</v>
      </c>
      <c r="Y52" s="2"/>
      <c r="Z52" s="108">
        <f t="shared" si="16"/>
        <v>-134605.1285687343</v>
      </c>
      <c r="AA52" s="2"/>
      <c r="AB52" s="108">
        <v>-517.86712603714989</v>
      </c>
      <c r="AC52" s="12"/>
      <c r="AD52" s="108">
        <f t="shared" si="17"/>
        <v>-141196.59987854623</v>
      </c>
      <c r="AE52" s="108">
        <f t="shared" si="1"/>
        <v>0</v>
      </c>
      <c r="AF52" s="108" t="e">
        <f>#REF!</f>
        <v>#REF!</v>
      </c>
      <c r="AG52" s="108">
        <f t="shared" si="18"/>
        <v>-141196.59987854623</v>
      </c>
      <c r="AH52" s="108">
        <f t="shared" si="2"/>
        <v>0</v>
      </c>
      <c r="AI52" s="108" t="e">
        <f>#REF!</f>
        <v>#REF!</v>
      </c>
      <c r="AJ52" s="108">
        <f t="shared" si="19"/>
        <v>-141196.59987854623</v>
      </c>
      <c r="AK52" s="108">
        <f t="shared" si="3"/>
        <v>0</v>
      </c>
      <c r="AL52" s="108" t="e">
        <f>#REF!</f>
        <v>#REF!</v>
      </c>
      <c r="AM52" s="108">
        <f t="shared" si="20"/>
        <v>-141196.59987854623</v>
      </c>
      <c r="AN52" s="108">
        <f t="shared" si="4"/>
        <v>0</v>
      </c>
      <c r="AO52" s="108" t="e">
        <f>#REF!</f>
        <v>#REF!</v>
      </c>
    </row>
    <row r="53" spans="1:41" ht="15.75" x14ac:dyDescent="0.5">
      <c r="A53" s="19">
        <v>3</v>
      </c>
      <c r="B53" s="32" t="s">
        <v>48</v>
      </c>
      <c r="C53" s="124">
        <v>15704185.260466754</v>
      </c>
      <c r="D53" s="33">
        <v>1.0901989906913342E-2</v>
      </c>
      <c r="E53" s="33">
        <v>1.1360038496449275E-2</v>
      </c>
      <c r="F53" s="181">
        <f t="shared" si="5"/>
        <v>1.0420151360849699</v>
      </c>
      <c r="G53" s="119"/>
      <c r="H53" s="27">
        <f t="shared" si="6"/>
        <v>-7852092.6302333763</v>
      </c>
      <c r="I53" s="27">
        <f t="shared" si="0"/>
        <v>8181999.3706444213</v>
      </c>
      <c r="J53" s="37">
        <f t="shared" si="7"/>
        <v>329906.74041104503</v>
      </c>
      <c r="K53" s="2"/>
      <c r="L53" s="108">
        <f t="shared" si="8"/>
        <v>2655841.3388901157</v>
      </c>
      <c r="M53" s="108">
        <f t="shared" si="9"/>
        <v>-2548755.0486728703</v>
      </c>
      <c r="N53" s="108">
        <f t="shared" si="10"/>
        <v>107086.29021724546</v>
      </c>
      <c r="O53" s="2"/>
      <c r="P53" s="108">
        <f t="shared" si="11"/>
        <v>0</v>
      </c>
      <c r="Q53" s="108">
        <f t="shared" si="12"/>
        <v>0</v>
      </c>
      <c r="R53" s="108">
        <f t="shared" si="13"/>
        <v>0</v>
      </c>
      <c r="S53" s="2"/>
      <c r="T53" s="27">
        <f t="shared" si="14"/>
        <v>2655841.3388901157</v>
      </c>
      <c r="U53" s="27">
        <f t="shared" si="15"/>
        <v>0</v>
      </c>
      <c r="V53" s="12"/>
      <c r="W53" s="122">
        <v>-117645.20071914326</v>
      </c>
      <c r="X53" s="122">
        <v>-2644222.8473239364</v>
      </c>
      <c r="Y53" s="2"/>
      <c r="Z53" s="108">
        <f t="shared" si="16"/>
        <v>330966.32147532655</v>
      </c>
      <c r="AA53" s="2"/>
      <c r="AB53" s="108">
        <v>-3696.2427181024091</v>
      </c>
      <c r="AC53" s="12"/>
      <c r="AD53" s="108">
        <f t="shared" si="17"/>
        <v>65981.348082209006</v>
      </c>
      <c r="AE53" s="108">
        <f t="shared" si="1"/>
        <v>0</v>
      </c>
      <c r="AF53" s="108" t="e">
        <f>#REF!</f>
        <v>#REF!</v>
      </c>
      <c r="AG53" s="108">
        <f t="shared" si="18"/>
        <v>65981.348082209006</v>
      </c>
      <c r="AH53" s="108">
        <f t="shared" si="2"/>
        <v>0</v>
      </c>
      <c r="AI53" s="108" t="e">
        <f>#REF!</f>
        <v>#REF!</v>
      </c>
      <c r="AJ53" s="108">
        <f t="shared" si="19"/>
        <v>65981.348082209006</v>
      </c>
      <c r="AK53" s="108">
        <f t="shared" si="3"/>
        <v>0</v>
      </c>
      <c r="AL53" s="108" t="e">
        <f>#REF!</f>
        <v>#REF!</v>
      </c>
      <c r="AM53" s="108">
        <f t="shared" si="20"/>
        <v>65981.348082209006</v>
      </c>
      <c r="AN53" s="108">
        <f t="shared" si="4"/>
        <v>0</v>
      </c>
      <c r="AO53" s="108" t="e">
        <f>#REF!</f>
        <v>#REF!</v>
      </c>
    </row>
    <row r="54" spans="1:41" ht="15.75" x14ac:dyDescent="0.5">
      <c r="A54" s="19">
        <v>3</v>
      </c>
      <c r="B54" s="32" t="s">
        <v>49</v>
      </c>
      <c r="C54" s="124">
        <v>18845882.726300068</v>
      </c>
      <c r="D54" s="33">
        <v>1.3082985195431229E-2</v>
      </c>
      <c r="E54" s="33">
        <v>1.2301030617185724E-2</v>
      </c>
      <c r="F54" s="181">
        <f t="shared" si="5"/>
        <v>0.94023118068507983</v>
      </c>
      <c r="G54" s="119"/>
      <c r="H54" s="27">
        <f t="shared" si="6"/>
        <v>-9422941.3631500341</v>
      </c>
      <c r="I54" s="27">
        <f t="shared" si="0"/>
        <v>8859743.2834008317</v>
      </c>
      <c r="J54" s="37">
        <f t="shared" si="7"/>
        <v>-563198.07974920236</v>
      </c>
      <c r="K54" s="2"/>
      <c r="L54" s="108">
        <f t="shared" si="8"/>
        <v>2875834.0593903917</v>
      </c>
      <c r="M54" s="108">
        <f t="shared" si="9"/>
        <v>-3058645.7016826165</v>
      </c>
      <c r="N54" s="108">
        <f t="shared" si="10"/>
        <v>-182811.6422922248</v>
      </c>
      <c r="O54" s="2"/>
      <c r="P54" s="108">
        <f t="shared" si="11"/>
        <v>0</v>
      </c>
      <c r="Q54" s="108">
        <f t="shared" si="12"/>
        <v>0</v>
      </c>
      <c r="R54" s="108">
        <f t="shared" si="13"/>
        <v>0</v>
      </c>
      <c r="S54" s="2"/>
      <c r="T54" s="27">
        <f t="shared" si="14"/>
        <v>2875834.0593903917</v>
      </c>
      <c r="U54" s="27">
        <f t="shared" si="15"/>
        <v>0</v>
      </c>
      <c r="V54" s="12"/>
      <c r="W54" s="122">
        <v>420539.35427064542</v>
      </c>
      <c r="X54" s="122">
        <v>-2717382.5974255702</v>
      </c>
      <c r="Y54" s="2"/>
      <c r="Z54" s="108">
        <f t="shared" si="16"/>
        <v>-167018.9058059603</v>
      </c>
      <c r="AA54" s="2"/>
      <c r="AB54" s="108">
        <v>-4170.073003382865</v>
      </c>
      <c r="AC54" s="12"/>
      <c r="AD54" s="108">
        <f t="shared" si="17"/>
        <v>-112639.61594984044</v>
      </c>
      <c r="AE54" s="108">
        <f t="shared" si="1"/>
        <v>0</v>
      </c>
      <c r="AF54" s="108" t="e">
        <f>#REF!</f>
        <v>#REF!</v>
      </c>
      <c r="AG54" s="108">
        <f t="shared" si="18"/>
        <v>-112639.61594984044</v>
      </c>
      <c r="AH54" s="108">
        <f t="shared" si="2"/>
        <v>0</v>
      </c>
      <c r="AI54" s="108" t="e">
        <f>#REF!</f>
        <v>#REF!</v>
      </c>
      <c r="AJ54" s="108">
        <f t="shared" si="19"/>
        <v>-112639.61594984044</v>
      </c>
      <c r="AK54" s="108">
        <f t="shared" si="3"/>
        <v>0</v>
      </c>
      <c r="AL54" s="108" t="e">
        <f>#REF!</f>
        <v>#REF!</v>
      </c>
      <c r="AM54" s="108">
        <f t="shared" si="20"/>
        <v>-112639.61594984044</v>
      </c>
      <c r="AN54" s="108">
        <f t="shared" si="4"/>
        <v>0</v>
      </c>
      <c r="AO54" s="108" t="e">
        <f>#REF!</f>
        <v>#REF!</v>
      </c>
    </row>
    <row r="55" spans="1:41" ht="15.75" x14ac:dyDescent="0.5">
      <c r="A55" s="19">
        <v>3</v>
      </c>
      <c r="B55" s="32" t="s">
        <v>50</v>
      </c>
      <c r="C55" s="124">
        <v>15497803.25615637</v>
      </c>
      <c r="D55" s="33">
        <v>1.0758717620536005E-2</v>
      </c>
      <c r="E55" s="33">
        <v>1.3299045952635978E-2</v>
      </c>
      <c r="F55" s="181">
        <f t="shared" si="5"/>
        <v>1.236118134307294</v>
      </c>
      <c r="G55" s="119"/>
      <c r="H55" s="27">
        <f t="shared" si="6"/>
        <v>-7748901.628078185</v>
      </c>
      <c r="I55" s="27">
        <f t="shared" si="0"/>
        <v>9578557.8234307598</v>
      </c>
      <c r="J55" s="37">
        <f t="shared" si="7"/>
        <v>1829656.1953525748</v>
      </c>
      <c r="K55" s="2"/>
      <c r="L55" s="108">
        <f t="shared" si="8"/>
        <v>3109158.1265195254</v>
      </c>
      <c r="M55" s="108">
        <f t="shared" si="9"/>
        <v>-2515259.699075493</v>
      </c>
      <c r="N55" s="108">
        <f t="shared" si="10"/>
        <v>593898.42744403239</v>
      </c>
      <c r="O55" s="2"/>
      <c r="P55" s="108">
        <f t="shared" si="11"/>
        <v>0</v>
      </c>
      <c r="Q55" s="108">
        <f t="shared" si="12"/>
        <v>0</v>
      </c>
      <c r="R55" s="108">
        <f t="shared" si="13"/>
        <v>0</v>
      </c>
      <c r="S55" s="2"/>
      <c r="T55" s="27">
        <f t="shared" si="14"/>
        <v>3109158.1265195254</v>
      </c>
      <c r="U55" s="27">
        <f t="shared" si="15"/>
        <v>0</v>
      </c>
      <c r="V55" s="12"/>
      <c r="W55" s="122">
        <v>-1482117.9373630146</v>
      </c>
      <c r="X55" s="122">
        <v>-3717982.2577210902</v>
      </c>
      <c r="Y55" s="2"/>
      <c r="Z55" s="108">
        <f t="shared" si="16"/>
        <v>332612.55423202785</v>
      </c>
      <c r="AA55" s="2"/>
      <c r="AB55" s="108">
        <v>-3925.2930009464185</v>
      </c>
      <c r="AC55" s="12"/>
      <c r="AD55" s="108">
        <f t="shared" si="17"/>
        <v>365931.23907051497</v>
      </c>
      <c r="AE55" s="108">
        <f t="shared" si="1"/>
        <v>0</v>
      </c>
      <c r="AF55" s="108" t="e">
        <f>#REF!</f>
        <v>#REF!</v>
      </c>
      <c r="AG55" s="108">
        <f t="shared" si="18"/>
        <v>365931.23907051497</v>
      </c>
      <c r="AH55" s="108">
        <f t="shared" si="2"/>
        <v>0</v>
      </c>
      <c r="AI55" s="108" t="e">
        <f>#REF!</f>
        <v>#REF!</v>
      </c>
      <c r="AJ55" s="108">
        <f t="shared" si="19"/>
        <v>365931.23907051497</v>
      </c>
      <c r="AK55" s="108">
        <f t="shared" si="3"/>
        <v>0</v>
      </c>
      <c r="AL55" s="108" t="e">
        <f>#REF!</f>
        <v>#REF!</v>
      </c>
      <c r="AM55" s="108">
        <f t="shared" si="20"/>
        <v>365931.23907051497</v>
      </c>
      <c r="AN55" s="108">
        <f t="shared" si="4"/>
        <v>0</v>
      </c>
      <c r="AO55" s="108" t="e">
        <f>#REF!</f>
        <v>#REF!</v>
      </c>
    </row>
    <row r="56" spans="1:41" ht="15.75" x14ac:dyDescent="0.5">
      <c r="A56" s="19">
        <v>2</v>
      </c>
      <c r="B56" s="32" t="s">
        <v>36</v>
      </c>
      <c r="C56" s="124">
        <v>3403045.1469792882</v>
      </c>
      <c r="D56" s="33">
        <v>2.3624252535107931E-3</v>
      </c>
      <c r="E56" s="33">
        <v>2.8925975021729571E-3</v>
      </c>
      <c r="F56" s="181">
        <f t="shared" si="5"/>
        <v>1.2244186341448375</v>
      </c>
      <c r="G56" s="119"/>
      <c r="H56" s="27">
        <f t="shared" si="6"/>
        <v>-1701522.5734896441</v>
      </c>
      <c r="I56" s="27">
        <f t="shared" si="0"/>
        <v>2083375.9453987991</v>
      </c>
      <c r="J56" s="37">
        <f t="shared" si="7"/>
        <v>381853.37190915504</v>
      </c>
      <c r="K56" s="2"/>
      <c r="L56" s="108">
        <f t="shared" si="8"/>
        <v>676254.75260866643</v>
      </c>
      <c r="M56" s="108">
        <f t="shared" si="9"/>
        <v>-552306.81218844582</v>
      </c>
      <c r="N56" s="108">
        <f t="shared" si="10"/>
        <v>123947.94042022061</v>
      </c>
      <c r="O56" s="2"/>
      <c r="P56" s="108">
        <f t="shared" si="11"/>
        <v>0</v>
      </c>
      <c r="Q56" s="108">
        <f t="shared" si="12"/>
        <v>0</v>
      </c>
      <c r="R56" s="108">
        <f t="shared" si="13"/>
        <v>0</v>
      </c>
      <c r="S56" s="2"/>
      <c r="T56" s="27">
        <f t="shared" si="14"/>
        <v>676254.75260866643</v>
      </c>
      <c r="U56" s="27">
        <f t="shared" si="15"/>
        <v>0</v>
      </c>
      <c r="V56" s="12"/>
      <c r="W56" s="122">
        <v>-303661.63143025967</v>
      </c>
      <c r="X56" s="122">
        <v>-798724.91773144982</v>
      </c>
      <c r="Y56" s="2"/>
      <c r="Z56" s="108">
        <f t="shared" si="16"/>
        <v>79669.515776332584</v>
      </c>
      <c r="AA56" s="2"/>
      <c r="AB56" s="108">
        <v>-896.89339112761195</v>
      </c>
      <c r="AC56" s="12"/>
      <c r="AD56" s="108">
        <f t="shared" si="17"/>
        <v>76370.674381831006</v>
      </c>
      <c r="AE56" s="108">
        <f t="shared" si="1"/>
        <v>0</v>
      </c>
      <c r="AF56" s="108" t="e">
        <f>#REF!</f>
        <v>#REF!</v>
      </c>
      <c r="AG56" s="108">
        <f t="shared" si="18"/>
        <v>76370.674381831006</v>
      </c>
      <c r="AH56" s="108">
        <f t="shared" si="2"/>
        <v>0</v>
      </c>
      <c r="AI56" s="108" t="e">
        <f>#REF!</f>
        <v>#REF!</v>
      </c>
      <c r="AJ56" s="108">
        <f t="shared" si="19"/>
        <v>76370.674381831006</v>
      </c>
      <c r="AK56" s="108">
        <f t="shared" si="3"/>
        <v>0</v>
      </c>
      <c r="AL56" s="108" t="e">
        <f>#REF!</f>
        <v>#REF!</v>
      </c>
      <c r="AM56" s="108">
        <f t="shared" si="20"/>
        <v>76370.674381831006</v>
      </c>
      <c r="AN56" s="108">
        <f t="shared" si="4"/>
        <v>0</v>
      </c>
      <c r="AO56" s="108" t="e">
        <f>#REF!</f>
        <v>#REF!</v>
      </c>
    </row>
    <row r="57" spans="1:41" ht="15.75" x14ac:dyDescent="0.5">
      <c r="A57" s="19">
        <v>2</v>
      </c>
      <c r="B57" s="32" t="s">
        <v>37</v>
      </c>
      <c r="C57" s="124">
        <v>2907297.5888990578</v>
      </c>
      <c r="D57" s="33">
        <v>2.0182727371638883E-3</v>
      </c>
      <c r="E57" s="33">
        <v>2.2850354457770207E-3</v>
      </c>
      <c r="F57" s="181">
        <f t="shared" si="5"/>
        <v>1.1321737660629514</v>
      </c>
      <c r="G57" s="119"/>
      <c r="H57" s="27">
        <f t="shared" si="6"/>
        <v>-1453648.7944495289</v>
      </c>
      <c r="I57" s="27">
        <f t="shared" si="0"/>
        <v>1645783.0301447923</v>
      </c>
      <c r="J57" s="37">
        <f t="shared" si="7"/>
        <v>192134.23569526337</v>
      </c>
      <c r="K57" s="2"/>
      <c r="L57" s="108">
        <f t="shared" si="8"/>
        <v>534213.99932937394</v>
      </c>
      <c r="M57" s="108">
        <f t="shared" si="9"/>
        <v>-471848.06373588974</v>
      </c>
      <c r="N57" s="108">
        <f t="shared" si="10"/>
        <v>62365.935593484202</v>
      </c>
      <c r="O57" s="2"/>
      <c r="P57" s="108">
        <f t="shared" si="11"/>
        <v>0</v>
      </c>
      <c r="Q57" s="108">
        <f t="shared" si="12"/>
        <v>0</v>
      </c>
      <c r="R57" s="108">
        <f t="shared" si="13"/>
        <v>0</v>
      </c>
      <c r="S57" s="2"/>
      <c r="T57" s="27">
        <f t="shared" si="14"/>
        <v>534213.99932937394</v>
      </c>
      <c r="U57" s="27">
        <f t="shared" si="15"/>
        <v>0</v>
      </c>
      <c r="V57" s="12"/>
      <c r="W57" s="122">
        <v>-119114.85318706674</v>
      </c>
      <c r="X57" s="122">
        <v>-568508.46935295966</v>
      </c>
      <c r="Y57" s="2"/>
      <c r="Z57" s="108">
        <f t="shared" si="16"/>
        <v>101090.84807809512</v>
      </c>
      <c r="AA57" s="2"/>
      <c r="AB57" s="108">
        <v>-715.06946194637237</v>
      </c>
      <c r="AC57" s="12"/>
      <c r="AD57" s="108">
        <f t="shared" si="17"/>
        <v>38426.847139052676</v>
      </c>
      <c r="AE57" s="108">
        <f t="shared" si="1"/>
        <v>0</v>
      </c>
      <c r="AF57" s="108" t="e">
        <f>#REF!</f>
        <v>#REF!</v>
      </c>
      <c r="AG57" s="108">
        <f t="shared" si="18"/>
        <v>38426.847139052676</v>
      </c>
      <c r="AH57" s="108">
        <f t="shared" si="2"/>
        <v>0</v>
      </c>
      <c r="AI57" s="108" t="e">
        <f>#REF!</f>
        <v>#REF!</v>
      </c>
      <c r="AJ57" s="108">
        <f t="shared" si="19"/>
        <v>38426.847139052676</v>
      </c>
      <c r="AK57" s="108">
        <f t="shared" si="3"/>
        <v>0</v>
      </c>
      <c r="AL57" s="108" t="e">
        <f>#REF!</f>
        <v>#REF!</v>
      </c>
      <c r="AM57" s="108">
        <f t="shared" si="20"/>
        <v>38426.847139052676</v>
      </c>
      <c r="AN57" s="108">
        <f t="shared" si="4"/>
        <v>0</v>
      </c>
      <c r="AO57" s="108" t="e">
        <f>#REF!</f>
        <v>#REF!</v>
      </c>
    </row>
    <row r="58" spans="1:41" ht="15.75" x14ac:dyDescent="0.5">
      <c r="A58" s="19">
        <v>1</v>
      </c>
      <c r="B58" s="32" t="s">
        <v>18</v>
      </c>
      <c r="C58" s="124">
        <v>990358.57581725402</v>
      </c>
      <c r="D58" s="33">
        <v>6.8751603592989415E-4</v>
      </c>
      <c r="E58" s="33">
        <v>6.5520408882784075E-4</v>
      </c>
      <c r="F58" s="181">
        <f t="shared" si="5"/>
        <v>0.95300190044534727</v>
      </c>
      <c r="G58" s="119"/>
      <c r="H58" s="27">
        <f t="shared" si="6"/>
        <v>-495179.28790862695</v>
      </c>
      <c r="I58" s="27">
        <f t="shared" si="0"/>
        <v>471906.80243809527</v>
      </c>
      <c r="J58" s="37">
        <f t="shared" si="7"/>
        <v>-23272.485470531683</v>
      </c>
      <c r="K58" s="2"/>
      <c r="L58" s="108">
        <f t="shared" si="8"/>
        <v>153178.89152072038</v>
      </c>
      <c r="M58" s="108">
        <f t="shared" si="9"/>
        <v>-160733.03888390813</v>
      </c>
      <c r="N58" s="108">
        <f t="shared" si="10"/>
        <v>-7554.1473631877452</v>
      </c>
      <c r="O58" s="2"/>
      <c r="P58" s="108">
        <f t="shared" si="11"/>
        <v>0</v>
      </c>
      <c r="Q58" s="108">
        <f t="shared" si="12"/>
        <v>0</v>
      </c>
      <c r="R58" s="108">
        <f t="shared" si="13"/>
        <v>0</v>
      </c>
      <c r="S58" s="2"/>
      <c r="T58" s="27">
        <f t="shared" si="14"/>
        <v>153178.89152072038</v>
      </c>
      <c r="U58" s="27">
        <f t="shared" si="15"/>
        <v>0</v>
      </c>
      <c r="V58" s="12"/>
      <c r="W58" s="122">
        <v>40143.265812983969</v>
      </c>
      <c r="X58" s="122">
        <v>-128157.21603347817</v>
      </c>
      <c r="Y58" s="2"/>
      <c r="Z58" s="108">
        <f t="shared" si="16"/>
        <v>34338.308466506758</v>
      </c>
      <c r="AA58" s="2"/>
      <c r="AB58" s="108">
        <v>-256.28182306843968</v>
      </c>
      <c r="AC58" s="12"/>
      <c r="AD58" s="108">
        <f t="shared" si="17"/>
        <v>-4654.4970941063439</v>
      </c>
      <c r="AE58" s="108">
        <f t="shared" si="1"/>
        <v>0</v>
      </c>
      <c r="AF58" s="108" t="e">
        <f>#REF!</f>
        <v>#REF!</v>
      </c>
      <c r="AG58" s="108">
        <f t="shared" si="18"/>
        <v>-4654.4970941063439</v>
      </c>
      <c r="AH58" s="108">
        <f t="shared" si="2"/>
        <v>0</v>
      </c>
      <c r="AI58" s="108" t="e">
        <f>#REF!</f>
        <v>#REF!</v>
      </c>
      <c r="AJ58" s="108">
        <f t="shared" si="19"/>
        <v>-4654.4970941063439</v>
      </c>
      <c r="AK58" s="108">
        <f t="shared" si="3"/>
        <v>0</v>
      </c>
      <c r="AL58" s="108" t="e">
        <f>#REF!</f>
        <v>#REF!</v>
      </c>
      <c r="AM58" s="108">
        <f t="shared" si="20"/>
        <v>-4654.4970941063439</v>
      </c>
      <c r="AN58" s="108">
        <f t="shared" si="4"/>
        <v>0</v>
      </c>
      <c r="AO58" s="108" t="e">
        <f>#REF!</f>
        <v>#REF!</v>
      </c>
    </row>
    <row r="59" spans="1:41" ht="15.75" x14ac:dyDescent="0.5">
      <c r="A59" s="19">
        <v>3</v>
      </c>
      <c r="B59" s="32" t="s">
        <v>51</v>
      </c>
      <c r="C59" s="124">
        <v>12293011.454763519</v>
      </c>
      <c r="D59" s="33">
        <v>8.533921663722065E-3</v>
      </c>
      <c r="E59" s="33">
        <v>1.112801199368583E-2</v>
      </c>
      <c r="F59" s="181">
        <f t="shared" si="5"/>
        <v>1.3039740030648881</v>
      </c>
      <c r="G59" s="119"/>
      <c r="H59" s="27">
        <f t="shared" si="6"/>
        <v>-6146505.7273817584</v>
      </c>
      <c r="I59" s="27">
        <f t="shared" si="0"/>
        <v>8014883.678195253</v>
      </c>
      <c r="J59" s="37">
        <f t="shared" si="7"/>
        <v>1868377.9508134946</v>
      </c>
      <c r="K59" s="2"/>
      <c r="L59" s="108">
        <f t="shared" si="8"/>
        <v>2601596.3134045186</v>
      </c>
      <c r="M59" s="108">
        <f t="shared" si="9"/>
        <v>-1995128.9728857102</v>
      </c>
      <c r="N59" s="108">
        <f t="shared" si="10"/>
        <v>606467.34051880846</v>
      </c>
      <c r="O59" s="2"/>
      <c r="P59" s="108">
        <f t="shared" si="11"/>
        <v>0</v>
      </c>
      <c r="Q59" s="108">
        <f t="shared" si="12"/>
        <v>0</v>
      </c>
      <c r="R59" s="108">
        <f t="shared" si="13"/>
        <v>0</v>
      </c>
      <c r="S59" s="2"/>
      <c r="T59" s="27">
        <f t="shared" si="14"/>
        <v>2601596.3134045186</v>
      </c>
      <c r="U59" s="27">
        <f t="shared" si="15"/>
        <v>0</v>
      </c>
      <c r="V59" s="12"/>
      <c r="W59" s="122">
        <v>-1050569.5409614332</v>
      </c>
      <c r="X59" s="122">
        <v>-2847654.7095274003</v>
      </c>
      <c r="Y59" s="2"/>
      <c r="Z59" s="108">
        <f t="shared" si="16"/>
        <v>1178217.3542479882</v>
      </c>
      <c r="AA59" s="2"/>
      <c r="AB59" s="108">
        <v>-3410.832744519178</v>
      </c>
      <c r="AC59" s="12"/>
      <c r="AD59" s="108">
        <f t="shared" si="17"/>
        <v>373675.59016269888</v>
      </c>
      <c r="AE59" s="108">
        <f t="shared" si="1"/>
        <v>0</v>
      </c>
      <c r="AF59" s="108" t="e">
        <f>#REF!</f>
        <v>#REF!</v>
      </c>
      <c r="AG59" s="108">
        <f t="shared" si="18"/>
        <v>373675.59016269888</v>
      </c>
      <c r="AH59" s="108">
        <f t="shared" si="2"/>
        <v>0</v>
      </c>
      <c r="AI59" s="108" t="e">
        <f>#REF!</f>
        <v>#REF!</v>
      </c>
      <c r="AJ59" s="108">
        <f t="shared" si="19"/>
        <v>373675.59016269888</v>
      </c>
      <c r="AK59" s="108">
        <f t="shared" si="3"/>
        <v>0</v>
      </c>
      <c r="AL59" s="108" t="e">
        <f>#REF!</f>
        <v>#REF!</v>
      </c>
      <c r="AM59" s="108">
        <f t="shared" si="20"/>
        <v>373675.59016269888</v>
      </c>
      <c r="AN59" s="108">
        <f t="shared" si="4"/>
        <v>0</v>
      </c>
      <c r="AO59" s="108" t="e">
        <f>#REF!</f>
        <v>#REF!</v>
      </c>
    </row>
    <row r="60" spans="1:41" ht="15.75" x14ac:dyDescent="0.5">
      <c r="A60" s="19">
        <v>2</v>
      </c>
      <c r="B60" s="32" t="s">
        <v>38</v>
      </c>
      <c r="C60" s="124">
        <v>2589802.5166776036</v>
      </c>
      <c r="D60" s="33">
        <v>1.7978647366567583E-3</v>
      </c>
      <c r="E60" s="33">
        <v>1.6923195798671485E-3</v>
      </c>
      <c r="F60" s="181">
        <f t="shared" si="5"/>
        <v>0.94129416154750467</v>
      </c>
      <c r="G60" s="119"/>
      <c r="H60" s="27">
        <f t="shared" si="6"/>
        <v>-1294901.2583388018</v>
      </c>
      <c r="I60" s="27">
        <f t="shared" si="0"/>
        <v>1218882.994254831</v>
      </c>
      <c r="J60" s="37">
        <f t="shared" si="7"/>
        <v>-76018.264083970804</v>
      </c>
      <c r="K60" s="2"/>
      <c r="L60" s="108">
        <f t="shared" si="8"/>
        <v>395644.10809251654</v>
      </c>
      <c r="M60" s="108">
        <f t="shared" si="9"/>
        <v>-420319.30532966484</v>
      </c>
      <c r="N60" s="108">
        <f t="shared" si="10"/>
        <v>-24675.197237148299</v>
      </c>
      <c r="O60" s="2"/>
      <c r="P60" s="108">
        <f t="shared" si="11"/>
        <v>0</v>
      </c>
      <c r="Q60" s="108">
        <f t="shared" si="12"/>
        <v>0</v>
      </c>
      <c r="R60" s="108">
        <f t="shared" si="13"/>
        <v>0</v>
      </c>
      <c r="S60" s="2"/>
      <c r="T60" s="27">
        <f t="shared" si="14"/>
        <v>395644.10809251654</v>
      </c>
      <c r="U60" s="27">
        <f t="shared" si="15"/>
        <v>0</v>
      </c>
      <c r="V60" s="12"/>
      <c r="W60" s="122">
        <v>146363.73745248199</v>
      </c>
      <c r="X60" s="122">
        <v>-301546.72700503928</v>
      </c>
      <c r="Y60" s="2"/>
      <c r="Z60" s="108">
        <f t="shared" si="16"/>
        <v>139767.65721884015</v>
      </c>
      <c r="AA60" s="2"/>
      <c r="AB60" s="108">
        <v>-564.27856031498095</v>
      </c>
      <c r="AC60" s="12"/>
      <c r="AD60" s="108">
        <f t="shared" si="17"/>
        <v>-15203.652816794136</v>
      </c>
      <c r="AE60" s="108">
        <f t="shared" si="1"/>
        <v>0</v>
      </c>
      <c r="AF60" s="108" t="e">
        <f>#REF!</f>
        <v>#REF!</v>
      </c>
      <c r="AG60" s="108">
        <f t="shared" si="18"/>
        <v>-15203.652816794136</v>
      </c>
      <c r="AH60" s="108">
        <f t="shared" si="2"/>
        <v>0</v>
      </c>
      <c r="AI60" s="108" t="e">
        <f>#REF!</f>
        <v>#REF!</v>
      </c>
      <c r="AJ60" s="108">
        <f t="shared" si="19"/>
        <v>-15203.652816794136</v>
      </c>
      <c r="AK60" s="108">
        <f t="shared" si="3"/>
        <v>0</v>
      </c>
      <c r="AL60" s="108" t="e">
        <f>#REF!</f>
        <v>#REF!</v>
      </c>
      <c r="AM60" s="108">
        <f t="shared" si="20"/>
        <v>-15203.652816794136</v>
      </c>
      <c r="AN60" s="108">
        <f t="shared" si="4"/>
        <v>0</v>
      </c>
      <c r="AO60" s="108" t="e">
        <f>#REF!</f>
        <v>#REF!</v>
      </c>
    </row>
    <row r="61" spans="1:41" ht="15.75" x14ac:dyDescent="0.5">
      <c r="A61" s="19">
        <v>3</v>
      </c>
      <c r="B61" s="32" t="s">
        <v>52</v>
      </c>
      <c r="C61" s="124">
        <v>24366826.615193319</v>
      </c>
      <c r="D61" s="33">
        <v>1.6915675243024324E-2</v>
      </c>
      <c r="E61" s="33">
        <v>2.0144949212229639E-2</v>
      </c>
      <c r="F61" s="181">
        <f t="shared" si="5"/>
        <v>1.1909042307097377</v>
      </c>
      <c r="G61" s="119"/>
      <c r="H61" s="27">
        <f t="shared" si="6"/>
        <v>-12183413.307596659</v>
      </c>
      <c r="I61" s="27">
        <f t="shared" si="0"/>
        <v>14509278.452502182</v>
      </c>
      <c r="J61" s="37">
        <f t="shared" si="7"/>
        <v>2325865.1449055225</v>
      </c>
      <c r="K61" s="2"/>
      <c r="L61" s="108">
        <f t="shared" si="8"/>
        <v>4709648.5548357973</v>
      </c>
      <c r="M61" s="108">
        <f t="shared" si="9"/>
        <v>-3954682.8648253339</v>
      </c>
      <c r="N61" s="108">
        <f t="shared" si="10"/>
        <v>754965.69001046335</v>
      </c>
      <c r="O61" s="2"/>
      <c r="P61" s="108">
        <f t="shared" si="11"/>
        <v>0</v>
      </c>
      <c r="Q61" s="108">
        <f t="shared" si="12"/>
        <v>0</v>
      </c>
      <c r="R61" s="108">
        <f t="shared" si="13"/>
        <v>0</v>
      </c>
      <c r="S61" s="2"/>
      <c r="T61" s="27">
        <f t="shared" si="14"/>
        <v>4709648.5548357973</v>
      </c>
      <c r="U61" s="27">
        <f t="shared" si="15"/>
        <v>0</v>
      </c>
      <c r="V61" s="12"/>
      <c r="W61" s="122">
        <v>-1419131.2472205963</v>
      </c>
      <c r="X61" s="122">
        <v>-5106292.4106539562</v>
      </c>
      <c r="Y61" s="2"/>
      <c r="Z61" s="108">
        <f t="shared" si="16"/>
        <v>1265055.7318772301</v>
      </c>
      <c r="AA61" s="2"/>
      <c r="AB61" s="108">
        <v>-6189.2971357714123</v>
      </c>
      <c r="AC61" s="12"/>
      <c r="AD61" s="108">
        <f t="shared" si="17"/>
        <v>465173.02898110432</v>
      </c>
      <c r="AE61" s="108">
        <f t="shared" si="1"/>
        <v>0</v>
      </c>
      <c r="AF61" s="108" t="e">
        <f>#REF!</f>
        <v>#REF!</v>
      </c>
      <c r="AG61" s="108">
        <f t="shared" si="18"/>
        <v>465173.02898110432</v>
      </c>
      <c r="AH61" s="108">
        <f t="shared" si="2"/>
        <v>0</v>
      </c>
      <c r="AI61" s="108" t="e">
        <f>#REF!</f>
        <v>#REF!</v>
      </c>
      <c r="AJ61" s="108">
        <f t="shared" si="19"/>
        <v>465173.02898110432</v>
      </c>
      <c r="AK61" s="108">
        <f t="shared" si="3"/>
        <v>0</v>
      </c>
      <c r="AL61" s="108" t="e">
        <f>#REF!</f>
        <v>#REF!</v>
      </c>
      <c r="AM61" s="108">
        <f t="shared" si="20"/>
        <v>465173.02898110432</v>
      </c>
      <c r="AN61" s="108">
        <f t="shared" si="4"/>
        <v>0</v>
      </c>
      <c r="AO61" s="108" t="e">
        <f>#REF!</f>
        <v>#REF!</v>
      </c>
    </row>
    <row r="62" spans="1:41" ht="15.75" x14ac:dyDescent="0.5">
      <c r="A62" s="19">
        <v>2</v>
      </c>
      <c r="B62" s="32" t="s">
        <v>39</v>
      </c>
      <c r="C62" s="124">
        <v>6504148.6509360727</v>
      </c>
      <c r="D62" s="33">
        <v>4.5152398401763121E-3</v>
      </c>
      <c r="E62" s="33">
        <v>5.4734880190735876E-3</v>
      </c>
      <c r="F62" s="181">
        <f t="shared" si="5"/>
        <v>1.2122253109061549</v>
      </c>
      <c r="G62" s="119"/>
      <c r="H62" s="27">
        <f t="shared" si="6"/>
        <v>-3252074.3254680363</v>
      </c>
      <c r="I62" s="27">
        <f t="shared" si="0"/>
        <v>3942246.8102804152</v>
      </c>
      <c r="J62" s="37">
        <f t="shared" si="7"/>
        <v>690172.48481237888</v>
      </c>
      <c r="K62" s="2"/>
      <c r="L62" s="108">
        <f t="shared" si="8"/>
        <v>1279636.1344654809</v>
      </c>
      <c r="M62" s="108">
        <f t="shared" si="9"/>
        <v>-1055609.1536390502</v>
      </c>
      <c r="N62" s="108">
        <f t="shared" si="10"/>
        <v>224026.98082643072</v>
      </c>
      <c r="O62" s="2"/>
      <c r="P62" s="108">
        <f t="shared" si="11"/>
        <v>0</v>
      </c>
      <c r="Q62" s="108">
        <f t="shared" si="12"/>
        <v>0</v>
      </c>
      <c r="R62" s="108">
        <f t="shared" si="13"/>
        <v>0</v>
      </c>
      <c r="S62" s="2"/>
      <c r="T62" s="27">
        <f t="shared" si="14"/>
        <v>1279636.1344654809</v>
      </c>
      <c r="U62" s="27">
        <f t="shared" si="15"/>
        <v>0</v>
      </c>
      <c r="V62" s="12"/>
      <c r="W62" s="122">
        <v>-303922.80943947565</v>
      </c>
      <c r="X62" s="122">
        <v>-1302239.2022910248</v>
      </c>
      <c r="Y62" s="2"/>
      <c r="Z62" s="108">
        <f t="shared" si="16"/>
        <v>587673.58837379003</v>
      </c>
      <c r="AA62" s="2"/>
      <c r="AB62" s="108">
        <v>-1669.1310335225951</v>
      </c>
      <c r="AC62" s="12"/>
      <c r="AD62" s="108">
        <f t="shared" si="17"/>
        <v>138034.49696247571</v>
      </c>
      <c r="AE62" s="108">
        <f t="shared" si="1"/>
        <v>0</v>
      </c>
      <c r="AF62" s="108" t="e">
        <f>#REF!</f>
        <v>#REF!</v>
      </c>
      <c r="AG62" s="108">
        <f t="shared" si="18"/>
        <v>138034.49696247571</v>
      </c>
      <c r="AH62" s="108">
        <f t="shared" si="2"/>
        <v>0</v>
      </c>
      <c r="AI62" s="108" t="e">
        <f>#REF!</f>
        <v>#REF!</v>
      </c>
      <c r="AJ62" s="108">
        <f t="shared" si="19"/>
        <v>138034.49696247571</v>
      </c>
      <c r="AK62" s="108">
        <f t="shared" si="3"/>
        <v>0</v>
      </c>
      <c r="AL62" s="108" t="e">
        <f>#REF!</f>
        <v>#REF!</v>
      </c>
      <c r="AM62" s="108">
        <f t="shared" si="20"/>
        <v>138034.49696247571</v>
      </c>
      <c r="AN62" s="108">
        <f t="shared" si="4"/>
        <v>0</v>
      </c>
      <c r="AO62" s="108" t="e">
        <f>#REF!</f>
        <v>#REF!</v>
      </c>
    </row>
    <row r="63" spans="1:41" ht="15.75" x14ac:dyDescent="0.5">
      <c r="A63" s="19">
        <v>2</v>
      </c>
      <c r="B63" s="32" t="s">
        <v>40</v>
      </c>
      <c r="C63" s="124">
        <v>3225076.0586028998</v>
      </c>
      <c r="D63" s="33">
        <v>2.23887747481092E-3</v>
      </c>
      <c r="E63" s="33">
        <v>2.6655953027404839E-3</v>
      </c>
      <c r="F63" s="181">
        <f t="shared" si="5"/>
        <v>1.1905945424573097</v>
      </c>
      <c r="G63" s="119"/>
      <c r="H63" s="27">
        <f t="shared" si="6"/>
        <v>-1612538.0293014499</v>
      </c>
      <c r="I63" s="27">
        <f t="shared" si="0"/>
        <v>1919878.9771911714</v>
      </c>
      <c r="J63" s="37">
        <f t="shared" si="7"/>
        <v>307340.94788972149</v>
      </c>
      <c r="K63" s="2"/>
      <c r="L63" s="108">
        <f t="shared" si="8"/>
        <v>623184.34924161981</v>
      </c>
      <c r="M63" s="108">
        <f t="shared" si="9"/>
        <v>-523422.81693598878</v>
      </c>
      <c r="N63" s="108">
        <f t="shared" si="10"/>
        <v>99761.53230563103</v>
      </c>
      <c r="O63" s="2"/>
      <c r="P63" s="108">
        <f t="shared" si="11"/>
        <v>0</v>
      </c>
      <c r="Q63" s="108">
        <f t="shared" si="12"/>
        <v>0</v>
      </c>
      <c r="R63" s="108">
        <f t="shared" si="13"/>
        <v>0</v>
      </c>
      <c r="S63" s="2"/>
      <c r="T63" s="27">
        <f t="shared" si="14"/>
        <v>623184.34924161981</v>
      </c>
      <c r="U63" s="27">
        <f t="shared" si="15"/>
        <v>0</v>
      </c>
      <c r="V63" s="12"/>
      <c r="W63" s="122">
        <v>-226540.58629589365</v>
      </c>
      <c r="X63" s="122">
        <v>-707258.03457841347</v>
      </c>
      <c r="Y63" s="2"/>
      <c r="Z63" s="108">
        <f t="shared" si="16"/>
        <v>96488.208562665153</v>
      </c>
      <c r="AA63" s="2"/>
      <c r="AB63" s="108">
        <v>-824.27459128281657</v>
      </c>
      <c r="AC63" s="12"/>
      <c r="AD63" s="108">
        <f t="shared" si="17"/>
        <v>61468.1895779443</v>
      </c>
      <c r="AE63" s="108">
        <f t="shared" si="1"/>
        <v>0</v>
      </c>
      <c r="AF63" s="108" t="e">
        <f>#REF!</f>
        <v>#REF!</v>
      </c>
      <c r="AG63" s="108">
        <f t="shared" si="18"/>
        <v>61468.1895779443</v>
      </c>
      <c r="AH63" s="108">
        <f t="shared" si="2"/>
        <v>0</v>
      </c>
      <c r="AI63" s="108" t="e">
        <f>#REF!</f>
        <v>#REF!</v>
      </c>
      <c r="AJ63" s="108">
        <f t="shared" si="19"/>
        <v>61468.1895779443</v>
      </c>
      <c r="AK63" s="108">
        <f t="shared" si="3"/>
        <v>0</v>
      </c>
      <c r="AL63" s="108" t="e">
        <f>#REF!</f>
        <v>#REF!</v>
      </c>
      <c r="AM63" s="108">
        <f t="shared" si="20"/>
        <v>61468.1895779443</v>
      </c>
      <c r="AN63" s="108">
        <f t="shared" si="4"/>
        <v>0</v>
      </c>
      <c r="AO63" s="108" t="e">
        <f>#REF!</f>
        <v>#REF!</v>
      </c>
    </row>
    <row r="64" spans="1:41" x14ac:dyDescent="0.45">
      <c r="A64" s="29"/>
      <c r="B64" s="32"/>
      <c r="C64" s="32"/>
      <c r="D64" s="32"/>
      <c r="E64" s="32"/>
      <c r="G64" s="120"/>
      <c r="H64" s="28"/>
      <c r="I64" s="28"/>
      <c r="J64" s="28"/>
      <c r="L64" s="20"/>
      <c r="M64" s="20"/>
      <c r="N64" s="20"/>
      <c r="P64" s="20"/>
      <c r="Q64" s="20"/>
      <c r="R64" s="20"/>
      <c r="T64" s="28"/>
      <c r="U64" s="28"/>
      <c r="V64" s="12"/>
      <c r="W64" s="13"/>
      <c r="X64" s="13"/>
    </row>
    <row r="65" spans="1:41" x14ac:dyDescent="0.45">
      <c r="A65" s="29"/>
      <c r="B65" s="159" t="s">
        <v>62</v>
      </c>
      <c r="C65" s="39">
        <f t="shared" ref="C65:J65" si="21">SUM(C6:C63)</f>
        <v>1440487965.4592385</v>
      </c>
      <c r="D65" s="34">
        <f>SUM(D6:D63)</f>
        <v>0.99999999999999967</v>
      </c>
      <c r="E65" s="34">
        <f t="shared" si="21"/>
        <v>1</v>
      </c>
      <c r="F65" s="182">
        <f t="shared" si="5"/>
        <v>1.0000000000000004</v>
      </c>
      <c r="G65" s="121"/>
      <c r="H65" s="35">
        <f t="shared" si="21"/>
        <v>-720243982.72961926</v>
      </c>
      <c r="I65" s="35">
        <f t="shared" si="21"/>
        <v>720243982.7296195</v>
      </c>
      <c r="J65" s="35">
        <f t="shared" si="21"/>
        <v>2.4028122425079346E-7</v>
      </c>
      <c r="L65" s="160">
        <f t="shared" ref="L65:M65" si="22">SUM(L6:L63)</f>
        <v>233788057.99999994</v>
      </c>
      <c r="M65" s="160">
        <f t="shared" si="22"/>
        <v>-233788057.99999982</v>
      </c>
      <c r="N65" s="160">
        <f>SUM(N6:N63)</f>
        <v>1.3032695278525352E-7</v>
      </c>
      <c r="P65" s="160">
        <f t="shared" ref="P65:Q65" si="23">SUM(P6:P63)</f>
        <v>0</v>
      </c>
      <c r="Q65" s="160">
        <f t="shared" si="23"/>
        <v>0</v>
      </c>
      <c r="R65" s="160">
        <f>SUM(R6:R63)</f>
        <v>0</v>
      </c>
      <c r="T65" s="160">
        <f t="shared" ref="T65:U65" si="24">SUM(T6:T63)</f>
        <v>233788057.99999994</v>
      </c>
      <c r="U65" s="160">
        <f t="shared" si="24"/>
        <v>0</v>
      </c>
      <c r="V65" s="158"/>
      <c r="W65" s="37">
        <f>SUM(W6:W63)</f>
        <v>-2.0046718418598175E-7</v>
      </c>
      <c r="X65" s="37">
        <f>SUM(X6:X63)</f>
        <v>-233788058.00000021</v>
      </c>
      <c r="Z65" s="35">
        <f>SUM(Z6:Z63)</f>
        <v>-4.4936314225196838E-8</v>
      </c>
      <c r="AB65" s="35">
        <f>SUM(AB6:AB63)</f>
        <v>-2.2737367544323206E-12</v>
      </c>
      <c r="AD65" s="35">
        <f t="shared" ref="AD65:AO65" si="25">SUM(AD6:AD63)</f>
        <v>4.2855390347540379E-8</v>
      </c>
      <c r="AE65" s="35">
        <f t="shared" si="25"/>
        <v>0</v>
      </c>
      <c r="AF65" s="35" t="e">
        <f t="shared" si="25"/>
        <v>#REF!</v>
      </c>
      <c r="AG65" s="35">
        <f t="shared" si="25"/>
        <v>4.2855390347540379E-8</v>
      </c>
      <c r="AH65" s="35">
        <f t="shared" si="25"/>
        <v>0</v>
      </c>
      <c r="AI65" s="35" t="e">
        <f t="shared" si="25"/>
        <v>#REF!</v>
      </c>
      <c r="AJ65" s="35">
        <f t="shared" si="25"/>
        <v>4.2855390347540379E-8</v>
      </c>
      <c r="AK65" s="35">
        <f t="shared" si="25"/>
        <v>0</v>
      </c>
      <c r="AL65" s="35" t="e">
        <f t="shared" si="25"/>
        <v>#REF!</v>
      </c>
      <c r="AM65" s="35">
        <f t="shared" si="25"/>
        <v>4.2855390347540379E-8</v>
      </c>
      <c r="AN65" s="35">
        <f t="shared" si="25"/>
        <v>0</v>
      </c>
      <c r="AO65" s="35" t="e">
        <f t="shared" si="25"/>
        <v>#REF!</v>
      </c>
    </row>
    <row r="66" spans="1:41" x14ac:dyDescent="0.45">
      <c r="B66" s="1"/>
      <c r="C66" s="25">
        <f>C65-C58-C51-C40-C37-C31-C30-C27-C23-C19-C16-C13-C11-C10-C8-C7</f>
        <v>1418395744.6390908</v>
      </c>
      <c r="D66" s="11"/>
      <c r="E66" s="10"/>
      <c r="G66" s="21"/>
      <c r="H66" s="23">
        <f>-0.5*$C$65</f>
        <v>-720243982.72961926</v>
      </c>
      <c r="I66" s="23"/>
      <c r="J66" s="14"/>
      <c r="L66" s="20">
        <f>214200000+19588058</f>
        <v>233788058</v>
      </c>
      <c r="M66" s="20"/>
      <c r="N66" s="20"/>
      <c r="P66" s="20">
        <v>0</v>
      </c>
      <c r="Q66" s="20"/>
      <c r="R66" s="20"/>
      <c r="T66" s="12">
        <v>233788058</v>
      </c>
      <c r="U66" s="12">
        <v>0</v>
      </c>
      <c r="V66" s="12"/>
      <c r="W66" s="22"/>
      <c r="X66" s="22"/>
      <c r="AD66" s="146">
        <v>0.1</v>
      </c>
      <c r="AE66" s="23">
        <v>0</v>
      </c>
      <c r="AG66" s="146">
        <v>0.1</v>
      </c>
      <c r="AH66" s="23">
        <v>0</v>
      </c>
      <c r="AJ66" s="146">
        <v>0.1</v>
      </c>
      <c r="AK66" s="23">
        <v>0</v>
      </c>
      <c r="AM66" s="146">
        <v>0.1</v>
      </c>
      <c r="AN66" s="23">
        <v>0</v>
      </c>
    </row>
    <row r="67" spans="1:41" x14ac:dyDescent="0.45">
      <c r="C67" s="269"/>
    </row>
  </sheetData>
  <mergeCells count="24">
    <mergeCell ref="AO3:AO4"/>
    <mergeCell ref="AD3:AD4"/>
    <mergeCell ref="AE3:AE4"/>
    <mergeCell ref="AF3:AF4"/>
    <mergeCell ref="AG3:AG4"/>
    <mergeCell ref="AH3:AH4"/>
    <mergeCell ref="AI3:AI4"/>
    <mergeCell ref="AJ3:AJ4"/>
    <mergeCell ref="AK3:AK4"/>
    <mergeCell ref="AL3:AL4"/>
    <mergeCell ref="AM3:AM4"/>
    <mergeCell ref="AN3:AN4"/>
    <mergeCell ref="AB3:AB4"/>
    <mergeCell ref="A3:A4"/>
    <mergeCell ref="B3:B4"/>
    <mergeCell ref="C3:C4"/>
    <mergeCell ref="D3:E3"/>
    <mergeCell ref="F3:F4"/>
    <mergeCell ref="H3:J3"/>
    <mergeCell ref="L3:N3"/>
    <mergeCell ref="P3:R3"/>
    <mergeCell ref="T3:U3"/>
    <mergeCell ref="W3:X3"/>
    <mergeCell ref="Z3:Z4"/>
  </mergeCells>
  <pageMargins left="0.7" right="0.7" top="0.75" bottom="0.75" header="0.3" footer="0.3"/>
  <pageSetup scale="70" fitToWidth="0" orientation="portrait" r:id="rId1"/>
  <headerFooter>
    <oddHeader>&amp;L&amp;"-,Bold"&amp;14 2017-2018 Allocation of New Funding and Reallocation of Historical Funding&amp;R&amp;"-,Bold"&amp;12 Attachment F</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6"/>
  <sheetViews>
    <sheetView workbookViewId="0">
      <selection activeCell="Q22" sqref="Q22"/>
    </sheetView>
  </sheetViews>
  <sheetFormatPr defaultRowHeight="14.25" x14ac:dyDescent="0.45"/>
  <cols>
    <col min="1" max="1" width="18.265625" bestFit="1" customWidth="1"/>
    <col min="2" max="13" width="15.73046875" customWidth="1"/>
  </cols>
  <sheetData>
    <row r="2" spans="1:15" ht="31.5" customHeight="1" x14ac:dyDescent="0.45">
      <c r="A2" s="449" t="s">
        <v>577</v>
      </c>
      <c r="B2" s="449"/>
      <c r="C2" s="449"/>
      <c r="D2" s="449"/>
      <c r="E2" s="449"/>
      <c r="F2" s="449"/>
      <c r="G2" s="449"/>
      <c r="H2" s="449"/>
      <c r="I2" s="449"/>
      <c r="J2" s="449"/>
      <c r="K2" s="449"/>
      <c r="L2" s="449"/>
    </row>
    <row r="3" spans="1:15" ht="65.25" x14ac:dyDescent="0.5">
      <c r="A3" s="373" t="s">
        <v>63</v>
      </c>
      <c r="B3" s="373" t="s">
        <v>578</v>
      </c>
      <c r="C3" s="374" t="s">
        <v>579</v>
      </c>
      <c r="D3" s="373" t="s">
        <v>580</v>
      </c>
      <c r="E3" s="373" t="s">
        <v>581</v>
      </c>
      <c r="F3" s="373" t="s">
        <v>582</v>
      </c>
      <c r="G3" s="374" t="s">
        <v>583</v>
      </c>
      <c r="H3" s="374" t="s">
        <v>584</v>
      </c>
      <c r="I3" s="374" t="s">
        <v>585</v>
      </c>
      <c r="J3" s="374" t="s">
        <v>586</v>
      </c>
      <c r="K3" s="374" t="s">
        <v>587</v>
      </c>
      <c r="L3" s="374" t="s">
        <v>588</v>
      </c>
      <c r="M3" s="374" t="s">
        <v>589</v>
      </c>
    </row>
    <row r="4" spans="1:15" ht="31.5" x14ac:dyDescent="0.5">
      <c r="A4" s="375"/>
      <c r="B4" s="375" t="s">
        <v>590</v>
      </c>
      <c r="C4" s="375" t="s">
        <v>591</v>
      </c>
      <c r="D4" s="375" t="s">
        <v>592</v>
      </c>
      <c r="E4" s="375" t="s">
        <v>593</v>
      </c>
      <c r="F4" s="375" t="s">
        <v>594</v>
      </c>
      <c r="G4" s="375" t="s">
        <v>595</v>
      </c>
      <c r="H4" s="376" t="s">
        <v>596</v>
      </c>
      <c r="I4" s="376" t="s">
        <v>597</v>
      </c>
      <c r="J4" s="375" t="s">
        <v>598</v>
      </c>
      <c r="K4" s="376" t="s">
        <v>599</v>
      </c>
      <c r="L4" s="375" t="s">
        <v>600</v>
      </c>
      <c r="M4" s="376" t="s">
        <v>601</v>
      </c>
    </row>
    <row r="5" spans="1:15" ht="15.75" x14ac:dyDescent="0.5">
      <c r="A5" s="377" t="s">
        <v>602</v>
      </c>
      <c r="B5" s="378">
        <v>995803.38219999999</v>
      </c>
      <c r="C5" s="378">
        <v>2129764.7800000012</v>
      </c>
      <c r="D5" s="378">
        <v>259572</v>
      </c>
      <c r="E5" s="378">
        <v>937111</v>
      </c>
      <c r="F5" s="378">
        <v>0</v>
      </c>
      <c r="G5" s="378">
        <v>859202.96</v>
      </c>
      <c r="H5" s="378">
        <f>C5-D5-E5-F5-G5</f>
        <v>73878.820000001229</v>
      </c>
      <c r="I5" s="379">
        <f>ROUND(IF(H5&lt;=B5,0,IF(H5&gt;B5,H5-B5)),0)</f>
        <v>0</v>
      </c>
      <c r="J5" s="380">
        <v>-604310</v>
      </c>
      <c r="K5" s="381">
        <f>(I5+J5)</f>
        <v>-604310</v>
      </c>
      <c r="L5" s="379">
        <v>0</v>
      </c>
      <c r="M5" s="382">
        <f t="shared" ref="M5:M9" si="0">IF(L5=0,K5,IF(L5+K5&lt;0,L5+K5,IF(L5+K5&gt;=0,0)))</f>
        <v>-604310</v>
      </c>
      <c r="O5" s="383"/>
    </row>
    <row r="6" spans="1:15" ht="15.75" x14ac:dyDescent="0.5">
      <c r="A6" s="384" t="s">
        <v>603</v>
      </c>
      <c r="B6" s="385">
        <v>6080</v>
      </c>
      <c r="C6" s="385">
        <v>148959</v>
      </c>
      <c r="D6" s="385">
        <v>0</v>
      </c>
      <c r="E6" s="385">
        <v>9947</v>
      </c>
      <c r="F6" s="385">
        <v>8051</v>
      </c>
      <c r="G6" s="385">
        <v>0</v>
      </c>
      <c r="H6" s="378">
        <f t="shared" ref="H6:H62" si="1">C6-D6-E6-F6-G6</f>
        <v>130961</v>
      </c>
      <c r="I6" s="379">
        <f>-ROUND(IF(H6&lt;=B6,0,IF(H6&gt;B6,H6-B6)),0)</f>
        <v>-124881</v>
      </c>
      <c r="J6" s="379">
        <v>0</v>
      </c>
      <c r="K6" s="381">
        <f t="shared" ref="K6:K62" si="2">(I6+J6)</f>
        <v>-124881</v>
      </c>
      <c r="L6" s="379">
        <v>0</v>
      </c>
      <c r="M6" s="382">
        <f t="shared" si="0"/>
        <v>-124881</v>
      </c>
      <c r="O6" s="383"/>
    </row>
    <row r="7" spans="1:15" ht="15.75" x14ac:dyDescent="0.5">
      <c r="A7" s="384" t="s">
        <v>604</v>
      </c>
      <c r="B7" s="385">
        <v>30028.979499999998</v>
      </c>
      <c r="C7" s="385">
        <v>194005</v>
      </c>
      <c r="D7" s="385">
        <v>150000</v>
      </c>
      <c r="E7" s="385">
        <v>24730</v>
      </c>
      <c r="F7" s="385">
        <v>841</v>
      </c>
      <c r="G7" s="385">
        <v>0</v>
      </c>
      <c r="H7" s="378">
        <f t="shared" si="1"/>
        <v>18434</v>
      </c>
      <c r="I7" s="379">
        <f t="shared" ref="I7:I62" si="3">-ROUND(IF(H7&lt;=B7,0,IF(H7&gt;B7,H7-B7)),0)</f>
        <v>0</v>
      </c>
      <c r="J7" s="379">
        <v>0</v>
      </c>
      <c r="K7" s="381">
        <f t="shared" si="2"/>
        <v>0</v>
      </c>
      <c r="L7" s="379">
        <v>0</v>
      </c>
      <c r="M7" s="382">
        <f t="shared" si="0"/>
        <v>0</v>
      </c>
      <c r="O7" s="383"/>
    </row>
    <row r="8" spans="1:15" ht="15.75" x14ac:dyDescent="0.5">
      <c r="A8" s="384" t="s">
        <v>605</v>
      </c>
      <c r="B8" s="385">
        <v>130856.3018</v>
      </c>
      <c r="C8" s="385">
        <v>708240.97</v>
      </c>
      <c r="D8" s="385">
        <v>12696.85</v>
      </c>
      <c r="E8" s="385">
        <v>309426.67</v>
      </c>
      <c r="F8" s="385">
        <v>81700</v>
      </c>
      <c r="G8" s="385">
        <v>0</v>
      </c>
      <c r="H8" s="378">
        <f t="shared" si="1"/>
        <v>304417.45</v>
      </c>
      <c r="I8" s="379">
        <f t="shared" si="3"/>
        <v>-173561</v>
      </c>
      <c r="J8" s="379">
        <v>0</v>
      </c>
      <c r="K8" s="381">
        <f t="shared" si="2"/>
        <v>-173561</v>
      </c>
      <c r="L8" s="379">
        <v>0</v>
      </c>
      <c r="M8" s="382">
        <f t="shared" si="0"/>
        <v>-173561</v>
      </c>
      <c r="O8" s="383"/>
    </row>
    <row r="9" spans="1:15" ht="15.75" x14ac:dyDescent="0.5">
      <c r="A9" s="384" t="s">
        <v>606</v>
      </c>
      <c r="B9" s="385">
        <v>27423.25</v>
      </c>
      <c r="C9" s="385">
        <v>397098</v>
      </c>
      <c r="D9" s="385">
        <v>90000</v>
      </c>
      <c r="E9" s="385">
        <v>144141</v>
      </c>
      <c r="F9" s="385">
        <v>159797.62</v>
      </c>
      <c r="G9" s="385">
        <v>0</v>
      </c>
      <c r="H9" s="378">
        <f t="shared" si="1"/>
        <v>3159.3800000000047</v>
      </c>
      <c r="I9" s="379">
        <f t="shared" si="3"/>
        <v>0</v>
      </c>
      <c r="J9" s="379">
        <v>0</v>
      </c>
      <c r="K9" s="381">
        <f t="shared" si="2"/>
        <v>0</v>
      </c>
      <c r="L9" s="379">
        <v>0</v>
      </c>
      <c r="M9" s="382">
        <f t="shared" si="0"/>
        <v>0</v>
      </c>
      <c r="O9" s="383"/>
    </row>
    <row r="10" spans="1:15" ht="15.75" x14ac:dyDescent="0.5">
      <c r="A10" s="384" t="s">
        <v>607</v>
      </c>
      <c r="B10" s="385">
        <v>20619</v>
      </c>
      <c r="C10" s="385">
        <v>443079</v>
      </c>
      <c r="D10" s="385">
        <v>49543</v>
      </c>
      <c r="E10" s="385">
        <v>222917</v>
      </c>
      <c r="F10" s="385">
        <v>0</v>
      </c>
      <c r="G10" s="385">
        <v>0</v>
      </c>
      <c r="H10" s="378">
        <f t="shared" si="1"/>
        <v>170619</v>
      </c>
      <c r="I10" s="379">
        <f t="shared" si="3"/>
        <v>-150000</v>
      </c>
      <c r="J10" s="379">
        <v>0</v>
      </c>
      <c r="K10" s="381">
        <f t="shared" si="2"/>
        <v>-150000</v>
      </c>
      <c r="L10" s="379">
        <v>150000</v>
      </c>
      <c r="M10" s="382">
        <f>IF(L10=0,K10,IF(L10+K10&lt;0,L10+K10,IF(L10+K10&gt;=0,0)))</f>
        <v>0</v>
      </c>
      <c r="O10" s="383"/>
    </row>
    <row r="11" spans="1:15" ht="15.75" x14ac:dyDescent="0.5">
      <c r="A11" s="384" t="s">
        <v>608</v>
      </c>
      <c r="B11" s="385">
        <v>554345.61219999997</v>
      </c>
      <c r="C11" s="385">
        <v>4080999.81</v>
      </c>
      <c r="D11" s="385">
        <v>1719968.43</v>
      </c>
      <c r="E11" s="385">
        <v>2156292.98</v>
      </c>
      <c r="F11" s="385">
        <v>0</v>
      </c>
      <c r="G11" s="385">
        <v>0</v>
      </c>
      <c r="H11" s="378">
        <f t="shared" si="1"/>
        <v>204738.39999999991</v>
      </c>
      <c r="I11" s="379">
        <f t="shared" si="3"/>
        <v>0</v>
      </c>
      <c r="J11" s="379">
        <v>-132189.4</v>
      </c>
      <c r="K11" s="381">
        <f t="shared" si="2"/>
        <v>-132189.4</v>
      </c>
      <c r="L11" s="379">
        <v>0</v>
      </c>
      <c r="M11" s="382">
        <f t="shared" ref="M11:M62" si="4">IF(L11=0,K11,IF(L11+K11&lt;0,L11+K11,IF(L11+K11&gt;=0,0)))</f>
        <v>-132189.4</v>
      </c>
      <c r="O11" s="383"/>
    </row>
    <row r="12" spans="1:15" ht="15.75" x14ac:dyDescent="0.5">
      <c r="A12" s="384" t="s">
        <v>609</v>
      </c>
      <c r="B12" s="385">
        <v>33534.255299999997</v>
      </c>
      <c r="C12" s="385">
        <v>686140</v>
      </c>
      <c r="D12" s="385">
        <v>40298</v>
      </c>
      <c r="E12" s="385">
        <v>484631.61</v>
      </c>
      <c r="F12" s="385">
        <v>0</v>
      </c>
      <c r="G12" s="385">
        <v>0</v>
      </c>
      <c r="H12" s="378">
        <f t="shared" si="1"/>
        <v>161210.39000000001</v>
      </c>
      <c r="I12" s="379">
        <f t="shared" si="3"/>
        <v>-127676</v>
      </c>
      <c r="J12" s="379">
        <v>0</v>
      </c>
      <c r="K12" s="381">
        <f t="shared" si="2"/>
        <v>-127676</v>
      </c>
      <c r="L12" s="379">
        <v>0</v>
      </c>
      <c r="M12" s="382">
        <f t="shared" si="4"/>
        <v>-127676</v>
      </c>
      <c r="O12" s="383"/>
    </row>
    <row r="13" spans="1:15" ht="15.75" x14ac:dyDescent="0.5">
      <c r="A13" s="384" t="s">
        <v>610</v>
      </c>
      <c r="B13" s="385">
        <v>87287.22050000001</v>
      </c>
      <c r="C13" s="385">
        <v>27817.96</v>
      </c>
      <c r="D13" s="385">
        <v>0</v>
      </c>
      <c r="E13" s="385">
        <v>0</v>
      </c>
      <c r="F13" s="385">
        <v>21146.68</v>
      </c>
      <c r="G13" s="385">
        <v>0</v>
      </c>
      <c r="H13" s="378">
        <f t="shared" si="1"/>
        <v>6671.2799999999988</v>
      </c>
      <c r="I13" s="379">
        <f t="shared" si="3"/>
        <v>0</v>
      </c>
      <c r="J13" s="379">
        <v>0</v>
      </c>
      <c r="K13" s="381">
        <f t="shared" si="2"/>
        <v>0</v>
      </c>
      <c r="L13" s="379">
        <v>0</v>
      </c>
      <c r="M13" s="382">
        <f t="shared" si="4"/>
        <v>0</v>
      </c>
      <c r="O13" s="383"/>
    </row>
    <row r="14" spans="1:15" ht="15.75" x14ac:dyDescent="0.5">
      <c r="A14" s="384" t="s">
        <v>611</v>
      </c>
      <c r="B14" s="385">
        <v>638517.82999999996</v>
      </c>
      <c r="C14" s="385">
        <v>2536925</v>
      </c>
      <c r="D14" s="385">
        <v>16160</v>
      </c>
      <c r="E14" s="385">
        <v>2100857</v>
      </c>
      <c r="F14" s="385">
        <v>0</v>
      </c>
      <c r="G14" s="385">
        <v>0</v>
      </c>
      <c r="H14" s="378">
        <f t="shared" si="1"/>
        <v>419908</v>
      </c>
      <c r="I14" s="379">
        <f t="shared" si="3"/>
        <v>0</v>
      </c>
      <c r="J14" s="379">
        <v>0</v>
      </c>
      <c r="K14" s="381">
        <f t="shared" si="2"/>
        <v>0</v>
      </c>
      <c r="L14" s="379">
        <v>0</v>
      </c>
      <c r="M14" s="382">
        <f t="shared" si="4"/>
        <v>0</v>
      </c>
      <c r="O14" s="383"/>
    </row>
    <row r="15" spans="1:15" ht="15.75" x14ac:dyDescent="0.5">
      <c r="A15" s="384" t="s">
        <v>612</v>
      </c>
      <c r="B15" s="385">
        <v>30902.36</v>
      </c>
      <c r="C15" s="385">
        <v>165029</v>
      </c>
      <c r="D15" s="385">
        <v>88679</v>
      </c>
      <c r="E15" s="385">
        <v>37776.5</v>
      </c>
      <c r="F15" s="385">
        <v>0</v>
      </c>
      <c r="G15" s="385">
        <v>29000</v>
      </c>
      <c r="H15" s="378">
        <f t="shared" si="1"/>
        <v>9573.5</v>
      </c>
      <c r="I15" s="379">
        <f t="shared" si="3"/>
        <v>0</v>
      </c>
      <c r="J15" s="379">
        <v>0</v>
      </c>
      <c r="K15" s="381">
        <f t="shared" si="2"/>
        <v>0</v>
      </c>
      <c r="L15" s="379">
        <v>0</v>
      </c>
      <c r="M15" s="382">
        <f t="shared" si="4"/>
        <v>0</v>
      </c>
      <c r="O15" s="383"/>
    </row>
    <row r="16" spans="1:15" ht="15.75" x14ac:dyDescent="0.5">
      <c r="A16" s="384" t="s">
        <v>613</v>
      </c>
      <c r="B16" s="385">
        <v>85160.970000000016</v>
      </c>
      <c r="C16" s="385">
        <v>289588</v>
      </c>
      <c r="D16" s="385">
        <v>35014</v>
      </c>
      <c r="E16" s="385">
        <v>145141</v>
      </c>
      <c r="F16" s="385">
        <v>59000</v>
      </c>
      <c r="G16" s="385">
        <v>0</v>
      </c>
      <c r="H16" s="378">
        <f t="shared" si="1"/>
        <v>50433</v>
      </c>
      <c r="I16" s="379">
        <f t="shared" si="3"/>
        <v>0</v>
      </c>
      <c r="J16" s="379">
        <v>0</v>
      </c>
      <c r="K16" s="381">
        <f t="shared" si="2"/>
        <v>0</v>
      </c>
      <c r="L16" s="379">
        <v>0</v>
      </c>
      <c r="M16" s="382">
        <f t="shared" si="4"/>
        <v>0</v>
      </c>
      <c r="O16" s="383"/>
    </row>
    <row r="17" spans="1:15" ht="15.75" x14ac:dyDescent="0.5">
      <c r="A17" s="384" t="s">
        <v>614</v>
      </c>
      <c r="B17" s="385">
        <v>124069.56000000003</v>
      </c>
      <c r="C17" s="385">
        <v>2477031.35</v>
      </c>
      <c r="D17" s="385">
        <v>1280695.33</v>
      </c>
      <c r="E17" s="385">
        <v>944482.36</v>
      </c>
      <c r="F17" s="385">
        <v>204444.89</v>
      </c>
      <c r="G17" s="385">
        <v>0</v>
      </c>
      <c r="H17" s="378">
        <f t="shared" si="1"/>
        <v>47408.770000000019</v>
      </c>
      <c r="I17" s="379">
        <f t="shared" si="3"/>
        <v>0</v>
      </c>
      <c r="J17" s="379">
        <v>0</v>
      </c>
      <c r="K17" s="381">
        <f t="shared" si="2"/>
        <v>0</v>
      </c>
      <c r="L17" s="379">
        <v>0</v>
      </c>
      <c r="M17" s="382">
        <f t="shared" si="4"/>
        <v>0</v>
      </c>
      <c r="O17" s="383"/>
    </row>
    <row r="18" spans="1:15" ht="15.75" x14ac:dyDescent="0.5">
      <c r="A18" s="384" t="s">
        <v>615</v>
      </c>
      <c r="B18" s="385">
        <v>26654.169600000001</v>
      </c>
      <c r="C18" s="385">
        <v>460342</v>
      </c>
      <c r="D18" s="385">
        <v>10558</v>
      </c>
      <c r="E18" s="385">
        <v>427086</v>
      </c>
      <c r="F18" s="385">
        <v>645</v>
      </c>
      <c r="G18" s="385">
        <v>0</v>
      </c>
      <c r="H18" s="378">
        <f t="shared" si="1"/>
        <v>22053</v>
      </c>
      <c r="I18" s="379">
        <f t="shared" si="3"/>
        <v>0</v>
      </c>
      <c r="J18" s="379">
        <v>0</v>
      </c>
      <c r="K18" s="381">
        <f t="shared" si="2"/>
        <v>0</v>
      </c>
      <c r="L18" s="379">
        <v>0</v>
      </c>
      <c r="M18" s="382">
        <f t="shared" si="4"/>
        <v>0</v>
      </c>
      <c r="O18" s="383"/>
    </row>
    <row r="19" spans="1:15" ht="15.75" x14ac:dyDescent="0.5">
      <c r="A19" s="384" t="s">
        <v>616</v>
      </c>
      <c r="B19" s="385">
        <v>666644.43000000005</v>
      </c>
      <c r="C19" s="385">
        <v>6660794</v>
      </c>
      <c r="D19" s="385">
        <v>1830750</v>
      </c>
      <c r="E19" s="385">
        <v>2783995</v>
      </c>
      <c r="F19" s="385">
        <v>628167</v>
      </c>
      <c r="G19" s="385">
        <v>676688</v>
      </c>
      <c r="H19" s="378">
        <f t="shared" si="1"/>
        <v>741194</v>
      </c>
      <c r="I19" s="379">
        <f t="shared" si="3"/>
        <v>-74550</v>
      </c>
      <c r="J19" s="379">
        <v>0</v>
      </c>
      <c r="K19" s="381">
        <f t="shared" si="2"/>
        <v>-74550</v>
      </c>
      <c r="L19" s="379">
        <v>0</v>
      </c>
      <c r="M19" s="382">
        <f t="shared" si="4"/>
        <v>-74550</v>
      </c>
      <c r="O19" s="383"/>
    </row>
    <row r="20" spans="1:15" ht="15.75" x14ac:dyDescent="0.5">
      <c r="A20" s="384" t="s">
        <v>617</v>
      </c>
      <c r="B20" s="385">
        <v>92095.151400000002</v>
      </c>
      <c r="C20" s="385">
        <v>314329</v>
      </c>
      <c r="D20" s="385">
        <v>87602.14</v>
      </c>
      <c r="E20" s="385">
        <v>141446.85</v>
      </c>
      <c r="F20" s="385">
        <v>0</v>
      </c>
      <c r="G20" s="385">
        <v>0</v>
      </c>
      <c r="H20" s="378">
        <f t="shared" si="1"/>
        <v>85280.00999999998</v>
      </c>
      <c r="I20" s="379">
        <f t="shared" si="3"/>
        <v>0</v>
      </c>
      <c r="J20" s="379">
        <v>0</v>
      </c>
      <c r="K20" s="381">
        <f t="shared" si="2"/>
        <v>0</v>
      </c>
      <c r="L20" s="379">
        <v>0</v>
      </c>
      <c r="M20" s="382">
        <f t="shared" si="4"/>
        <v>0</v>
      </c>
      <c r="O20" s="383"/>
    </row>
    <row r="21" spans="1:15" ht="15.75" x14ac:dyDescent="0.5">
      <c r="A21" s="384" t="s">
        <v>618</v>
      </c>
      <c r="B21" s="385">
        <v>40448.019100000005</v>
      </c>
      <c r="C21" s="385">
        <v>259619</v>
      </c>
      <c r="D21" s="385">
        <v>79581</v>
      </c>
      <c r="E21" s="385">
        <v>142171</v>
      </c>
      <c r="F21" s="385">
        <v>0</v>
      </c>
      <c r="G21" s="385">
        <v>0</v>
      </c>
      <c r="H21" s="378">
        <f t="shared" si="1"/>
        <v>37867</v>
      </c>
      <c r="I21" s="379">
        <f t="shared" si="3"/>
        <v>0</v>
      </c>
      <c r="J21" s="379">
        <v>0</v>
      </c>
      <c r="K21" s="381">
        <f t="shared" si="2"/>
        <v>0</v>
      </c>
      <c r="L21" s="379">
        <v>0</v>
      </c>
      <c r="M21" s="382">
        <f t="shared" si="4"/>
        <v>0</v>
      </c>
      <c r="O21" s="383"/>
    </row>
    <row r="22" spans="1:15" ht="15.75" x14ac:dyDescent="0.5">
      <c r="A22" s="384" t="s">
        <v>619</v>
      </c>
      <c r="B22" s="385">
        <v>28725.147100000002</v>
      </c>
      <c r="C22" s="385">
        <v>342235</v>
      </c>
      <c r="D22" s="385">
        <v>146918</v>
      </c>
      <c r="E22" s="385">
        <v>110607.95</v>
      </c>
      <c r="F22" s="385">
        <v>0</v>
      </c>
      <c r="G22" s="385">
        <v>75925</v>
      </c>
      <c r="H22" s="378">
        <f t="shared" si="1"/>
        <v>8784.0500000000029</v>
      </c>
      <c r="I22" s="379">
        <f t="shared" si="3"/>
        <v>0</v>
      </c>
      <c r="J22" s="379">
        <v>-5987.23</v>
      </c>
      <c r="K22" s="381">
        <f t="shared" si="2"/>
        <v>-5987.23</v>
      </c>
      <c r="L22" s="379">
        <v>0</v>
      </c>
      <c r="M22" s="382">
        <f t="shared" si="4"/>
        <v>-5987.23</v>
      </c>
      <c r="O22" s="383"/>
    </row>
    <row r="23" spans="1:15" ht="15.75" x14ac:dyDescent="0.5">
      <c r="A23" s="384" t="s">
        <v>620</v>
      </c>
      <c r="B23" s="385">
        <v>7335765.5672999993</v>
      </c>
      <c r="C23" s="385">
        <v>79594663.930000037</v>
      </c>
      <c r="D23" s="385">
        <v>54702483.859999999</v>
      </c>
      <c r="E23" s="385">
        <v>16298775.460000001</v>
      </c>
      <c r="F23" s="385">
        <v>2822836.15</v>
      </c>
      <c r="G23" s="385">
        <v>0</v>
      </c>
      <c r="H23" s="378">
        <f t="shared" si="1"/>
        <v>5770568.4600000363</v>
      </c>
      <c r="I23" s="379">
        <f t="shared" si="3"/>
        <v>0</v>
      </c>
      <c r="J23" s="379">
        <v>-4351971.9800000004</v>
      </c>
      <c r="K23" s="381">
        <f t="shared" si="2"/>
        <v>-4351971.9800000004</v>
      </c>
      <c r="L23" s="379">
        <v>5200000</v>
      </c>
      <c r="M23" s="382">
        <f t="shared" si="4"/>
        <v>0</v>
      </c>
      <c r="O23" s="383"/>
    </row>
    <row r="24" spans="1:15" ht="15.75" x14ac:dyDescent="0.5">
      <c r="A24" s="384" t="s">
        <v>621</v>
      </c>
      <c r="B24" s="385">
        <v>105084.96949999999</v>
      </c>
      <c r="C24" s="385">
        <v>1186895.81</v>
      </c>
      <c r="D24" s="385">
        <v>756250.52</v>
      </c>
      <c r="E24" s="385">
        <v>430253.33999999997</v>
      </c>
      <c r="F24" s="385">
        <v>0</v>
      </c>
      <c r="G24" s="385">
        <v>0</v>
      </c>
      <c r="H24" s="378">
        <f t="shared" si="1"/>
        <v>391.95000000006985</v>
      </c>
      <c r="I24" s="379">
        <f t="shared" si="3"/>
        <v>0</v>
      </c>
      <c r="J24" s="379">
        <v>0</v>
      </c>
      <c r="K24" s="381">
        <f t="shared" si="2"/>
        <v>0</v>
      </c>
      <c r="L24" s="379">
        <v>0</v>
      </c>
      <c r="M24" s="382">
        <f t="shared" si="4"/>
        <v>0</v>
      </c>
      <c r="O24" s="383"/>
    </row>
    <row r="25" spans="1:15" ht="15.75" x14ac:dyDescent="0.5">
      <c r="A25" s="384" t="s">
        <v>622</v>
      </c>
      <c r="B25" s="385">
        <v>142953.300812</v>
      </c>
      <c r="C25" s="385">
        <v>1135854</v>
      </c>
      <c r="D25" s="385">
        <v>356132.08120000002</v>
      </c>
      <c r="E25" s="385">
        <v>632208.89</v>
      </c>
      <c r="F25" s="385">
        <v>10000</v>
      </c>
      <c r="G25" s="385">
        <v>0</v>
      </c>
      <c r="H25" s="378">
        <f t="shared" si="1"/>
        <v>137513.02879999997</v>
      </c>
      <c r="I25" s="379">
        <f t="shared" si="3"/>
        <v>0</v>
      </c>
      <c r="J25" s="379">
        <v>0</v>
      </c>
      <c r="K25" s="381">
        <f t="shared" si="2"/>
        <v>0</v>
      </c>
      <c r="L25" s="379">
        <v>0</v>
      </c>
      <c r="M25" s="382">
        <f t="shared" si="4"/>
        <v>0</v>
      </c>
      <c r="O25" s="383"/>
    </row>
    <row r="26" spans="1:15" ht="15.75" x14ac:dyDescent="0.5">
      <c r="A26" s="384" t="s">
        <v>623</v>
      </c>
      <c r="B26" s="385">
        <v>15848.737599999999</v>
      </c>
      <c r="C26" s="385">
        <v>28049.67</v>
      </c>
      <c r="D26" s="385">
        <v>5945.38</v>
      </c>
      <c r="E26" s="385">
        <v>19633.68</v>
      </c>
      <c r="F26" s="385">
        <v>0</v>
      </c>
      <c r="G26" s="385">
        <v>0</v>
      </c>
      <c r="H26" s="378">
        <f t="shared" si="1"/>
        <v>2470.6099999999969</v>
      </c>
      <c r="I26" s="379">
        <f t="shared" si="3"/>
        <v>0</v>
      </c>
      <c r="J26" s="379">
        <v>0</v>
      </c>
      <c r="K26" s="381">
        <f t="shared" si="2"/>
        <v>0</v>
      </c>
      <c r="L26" s="379">
        <v>0</v>
      </c>
      <c r="M26" s="382">
        <f t="shared" si="4"/>
        <v>0</v>
      </c>
      <c r="O26" s="383"/>
    </row>
    <row r="27" spans="1:15" ht="15.75" x14ac:dyDescent="0.5">
      <c r="A27" s="384" t="s">
        <v>624</v>
      </c>
      <c r="B27" s="385">
        <v>69786.131299999994</v>
      </c>
      <c r="C27" s="385">
        <v>450000</v>
      </c>
      <c r="D27" s="385">
        <v>238189.43</v>
      </c>
      <c r="E27" s="385">
        <v>152405.77000000002</v>
      </c>
      <c r="F27" s="385">
        <v>0</v>
      </c>
      <c r="G27" s="385">
        <v>0</v>
      </c>
      <c r="H27" s="378">
        <f t="shared" si="1"/>
        <v>59404.799999999988</v>
      </c>
      <c r="I27" s="379">
        <f t="shared" si="3"/>
        <v>0</v>
      </c>
      <c r="J27" s="379">
        <v>0</v>
      </c>
      <c r="K27" s="381">
        <f t="shared" si="2"/>
        <v>0</v>
      </c>
      <c r="L27" s="379">
        <v>0</v>
      </c>
      <c r="M27" s="382">
        <f t="shared" si="4"/>
        <v>0</v>
      </c>
      <c r="O27" s="383"/>
    </row>
    <row r="28" spans="1:15" ht="15.75" x14ac:dyDescent="0.5">
      <c r="A28" s="384" t="s">
        <v>625</v>
      </c>
      <c r="B28" s="385">
        <v>169297.76990000001</v>
      </c>
      <c r="C28" s="385">
        <v>3872838.32</v>
      </c>
      <c r="D28" s="385">
        <v>581312.46</v>
      </c>
      <c r="E28" s="385">
        <v>2765047.63</v>
      </c>
      <c r="F28" s="385">
        <v>159919</v>
      </c>
      <c r="G28" s="385">
        <v>298878</v>
      </c>
      <c r="H28" s="378">
        <f t="shared" si="1"/>
        <v>67681.229999999981</v>
      </c>
      <c r="I28" s="379">
        <f t="shared" si="3"/>
        <v>0</v>
      </c>
      <c r="J28" s="379">
        <v>-107734</v>
      </c>
      <c r="K28" s="381">
        <f t="shared" si="2"/>
        <v>-107734</v>
      </c>
      <c r="L28" s="379">
        <v>0</v>
      </c>
      <c r="M28" s="382">
        <f t="shared" si="4"/>
        <v>-107734</v>
      </c>
      <c r="O28" s="383"/>
    </row>
    <row r="29" spans="1:15" ht="15.75" x14ac:dyDescent="0.5">
      <c r="A29" s="384" t="s">
        <v>626</v>
      </c>
      <c r="B29" s="385">
        <v>12904.326300000001</v>
      </c>
      <c r="C29" s="385">
        <v>105158</v>
      </c>
      <c r="D29" s="385">
        <v>85626</v>
      </c>
      <c r="E29" s="385">
        <v>19532</v>
      </c>
      <c r="F29" s="385">
        <v>0</v>
      </c>
      <c r="G29" s="385">
        <v>0</v>
      </c>
      <c r="H29" s="378">
        <f t="shared" si="1"/>
        <v>0</v>
      </c>
      <c r="I29" s="379">
        <f t="shared" si="3"/>
        <v>0</v>
      </c>
      <c r="J29" s="379">
        <v>0</v>
      </c>
      <c r="K29" s="381">
        <f t="shared" si="2"/>
        <v>0</v>
      </c>
      <c r="L29" s="379">
        <v>0</v>
      </c>
      <c r="M29" s="382">
        <f t="shared" si="4"/>
        <v>0</v>
      </c>
      <c r="O29" s="383"/>
    </row>
    <row r="30" spans="1:15" ht="15.75" x14ac:dyDescent="0.5">
      <c r="A30" s="386" t="s">
        <v>627</v>
      </c>
      <c r="B30" s="387">
        <v>22508.6263</v>
      </c>
      <c r="C30" s="387">
        <v>276491</v>
      </c>
      <c r="D30" s="387">
        <v>251452</v>
      </c>
      <c r="E30" s="387">
        <v>0</v>
      </c>
      <c r="F30" s="387">
        <v>7116</v>
      </c>
      <c r="G30" s="387">
        <v>0</v>
      </c>
      <c r="H30" s="378">
        <f t="shared" si="1"/>
        <v>17923</v>
      </c>
      <c r="I30" s="379">
        <f t="shared" si="3"/>
        <v>0</v>
      </c>
      <c r="J30" s="388">
        <v>0</v>
      </c>
      <c r="K30" s="381">
        <f t="shared" si="2"/>
        <v>0</v>
      </c>
      <c r="L30" s="379">
        <v>75000</v>
      </c>
      <c r="M30" s="382">
        <f t="shared" si="4"/>
        <v>0</v>
      </c>
      <c r="O30" s="383"/>
    </row>
    <row r="31" spans="1:15" ht="15.75" x14ac:dyDescent="0.5">
      <c r="A31" s="384" t="s">
        <v>628</v>
      </c>
      <c r="B31" s="385">
        <v>227338.43869999997</v>
      </c>
      <c r="C31" s="385">
        <v>1375132</v>
      </c>
      <c r="D31" s="385">
        <v>308739</v>
      </c>
      <c r="E31" s="385">
        <v>747167</v>
      </c>
      <c r="F31" s="385">
        <v>73750</v>
      </c>
      <c r="G31" s="385">
        <v>51914</v>
      </c>
      <c r="H31" s="378">
        <f t="shared" si="1"/>
        <v>193562</v>
      </c>
      <c r="I31" s="379">
        <f t="shared" si="3"/>
        <v>0</v>
      </c>
      <c r="J31" s="379">
        <v>0</v>
      </c>
      <c r="K31" s="381">
        <f t="shared" si="2"/>
        <v>0</v>
      </c>
      <c r="L31" s="379">
        <v>0</v>
      </c>
      <c r="M31" s="382">
        <f t="shared" si="4"/>
        <v>0</v>
      </c>
      <c r="O31" s="383"/>
    </row>
    <row r="32" spans="1:15" ht="15.75" x14ac:dyDescent="0.5">
      <c r="A32" s="384" t="s">
        <v>629</v>
      </c>
      <c r="B32" s="385">
        <v>98140</v>
      </c>
      <c r="C32" s="385">
        <v>1270576</v>
      </c>
      <c r="D32" s="385">
        <v>57582</v>
      </c>
      <c r="E32" s="385">
        <v>587192</v>
      </c>
      <c r="F32" s="385">
        <v>0</v>
      </c>
      <c r="G32" s="385">
        <v>212862</v>
      </c>
      <c r="H32" s="378">
        <f t="shared" si="1"/>
        <v>412940</v>
      </c>
      <c r="I32" s="379">
        <f t="shared" si="3"/>
        <v>-314800</v>
      </c>
      <c r="J32" s="379">
        <v>-2487</v>
      </c>
      <c r="K32" s="381">
        <f t="shared" si="2"/>
        <v>-317287</v>
      </c>
      <c r="L32" s="379">
        <v>0</v>
      </c>
      <c r="M32" s="382">
        <f t="shared" si="4"/>
        <v>-317287</v>
      </c>
      <c r="O32" s="383"/>
    </row>
    <row r="33" spans="1:15" ht="15.75" x14ac:dyDescent="0.5">
      <c r="A33" s="384" t="s">
        <v>630</v>
      </c>
      <c r="B33" s="385">
        <v>69184.349199999997</v>
      </c>
      <c r="C33" s="385">
        <v>214259</v>
      </c>
      <c r="D33" s="385">
        <v>0</v>
      </c>
      <c r="E33" s="385">
        <v>196498</v>
      </c>
      <c r="F33" s="385">
        <v>0</v>
      </c>
      <c r="G33" s="385">
        <v>0</v>
      </c>
      <c r="H33" s="378">
        <f t="shared" si="1"/>
        <v>17761</v>
      </c>
      <c r="I33" s="379">
        <f t="shared" si="3"/>
        <v>0</v>
      </c>
      <c r="J33" s="379">
        <v>0</v>
      </c>
      <c r="K33" s="381">
        <f t="shared" si="2"/>
        <v>0</v>
      </c>
      <c r="L33" s="379">
        <v>0</v>
      </c>
      <c r="M33" s="382">
        <f t="shared" si="4"/>
        <v>0</v>
      </c>
      <c r="O33" s="383"/>
    </row>
    <row r="34" spans="1:15" ht="15.75" x14ac:dyDescent="0.5">
      <c r="A34" s="384" t="s">
        <v>631</v>
      </c>
      <c r="B34" s="385">
        <v>1954492.6404000001</v>
      </c>
      <c r="C34" s="385">
        <v>8954223</v>
      </c>
      <c r="D34" s="385">
        <v>439962</v>
      </c>
      <c r="E34" s="385">
        <v>5657364</v>
      </c>
      <c r="F34" s="385">
        <v>1017977</v>
      </c>
      <c r="G34" s="385">
        <v>642384</v>
      </c>
      <c r="H34" s="378">
        <f t="shared" si="1"/>
        <v>1196536</v>
      </c>
      <c r="I34" s="379">
        <f t="shared" si="3"/>
        <v>0</v>
      </c>
      <c r="J34" s="379">
        <v>0</v>
      </c>
      <c r="K34" s="381">
        <f t="shared" si="2"/>
        <v>0</v>
      </c>
      <c r="L34" s="379">
        <v>0</v>
      </c>
      <c r="M34" s="382">
        <f t="shared" si="4"/>
        <v>0</v>
      </c>
      <c r="O34" s="383"/>
    </row>
    <row r="35" spans="1:15" ht="15.75" x14ac:dyDescent="0.5">
      <c r="A35" s="384" t="s">
        <v>632</v>
      </c>
      <c r="B35" s="385">
        <v>207532.3634</v>
      </c>
      <c r="C35" s="385">
        <v>1669684.25</v>
      </c>
      <c r="D35" s="385">
        <v>776955.8</v>
      </c>
      <c r="E35" s="385">
        <v>425809.07</v>
      </c>
      <c r="F35" s="385">
        <v>57744.15</v>
      </c>
      <c r="G35" s="385">
        <v>199650</v>
      </c>
      <c r="H35" s="378">
        <f t="shared" si="1"/>
        <v>209525.22999999992</v>
      </c>
      <c r="I35" s="379">
        <f t="shared" si="3"/>
        <v>-1993</v>
      </c>
      <c r="J35" s="379">
        <v>-2000.47</v>
      </c>
      <c r="K35" s="381">
        <f t="shared" si="2"/>
        <v>-3993.4700000000003</v>
      </c>
      <c r="L35" s="379">
        <v>0</v>
      </c>
      <c r="M35" s="382">
        <f t="shared" si="4"/>
        <v>-3993.4700000000003</v>
      </c>
      <c r="O35" s="383"/>
    </row>
    <row r="36" spans="1:15" ht="15.75" x14ac:dyDescent="0.5">
      <c r="A36" s="384" t="s">
        <v>633</v>
      </c>
      <c r="B36" s="385">
        <v>15968.512500000001</v>
      </c>
      <c r="C36" s="385">
        <v>180224.27</v>
      </c>
      <c r="D36" s="385">
        <v>125713.76</v>
      </c>
      <c r="E36" s="385">
        <v>44841.23</v>
      </c>
      <c r="F36" s="385">
        <v>5302.5</v>
      </c>
      <c r="G36" s="385">
        <v>0</v>
      </c>
      <c r="H36" s="378">
        <f t="shared" si="1"/>
        <v>4366.7799999999916</v>
      </c>
      <c r="I36" s="379">
        <f t="shared" si="3"/>
        <v>0</v>
      </c>
      <c r="J36" s="379">
        <v>0</v>
      </c>
      <c r="K36" s="381">
        <f t="shared" si="2"/>
        <v>0</v>
      </c>
      <c r="L36" s="379">
        <v>0</v>
      </c>
      <c r="M36" s="382">
        <f t="shared" si="4"/>
        <v>0</v>
      </c>
      <c r="O36" s="383"/>
    </row>
    <row r="37" spans="1:15" ht="15.75" x14ac:dyDescent="0.5">
      <c r="A37" s="384" t="s">
        <v>634</v>
      </c>
      <c r="B37" s="385">
        <v>1501784.6846</v>
      </c>
      <c r="C37" s="385">
        <v>8437553.1600000001</v>
      </c>
      <c r="D37" s="385">
        <v>3761244.44</v>
      </c>
      <c r="E37" s="385">
        <v>3327088.9800000004</v>
      </c>
      <c r="F37" s="385">
        <v>0</v>
      </c>
      <c r="G37" s="385">
        <v>0</v>
      </c>
      <c r="H37" s="378">
        <f t="shared" si="1"/>
        <v>1349219.7400000002</v>
      </c>
      <c r="I37" s="379">
        <f t="shared" si="3"/>
        <v>0</v>
      </c>
      <c r="J37" s="379">
        <v>0</v>
      </c>
      <c r="K37" s="381">
        <f t="shared" si="2"/>
        <v>0</v>
      </c>
      <c r="L37" s="379">
        <v>0</v>
      </c>
      <c r="M37" s="382">
        <f t="shared" si="4"/>
        <v>0</v>
      </c>
      <c r="O37" s="383"/>
    </row>
    <row r="38" spans="1:15" ht="15.75" x14ac:dyDescent="0.5">
      <c r="A38" s="384" t="s">
        <v>635</v>
      </c>
      <c r="B38" s="385">
        <v>929786.5560000001</v>
      </c>
      <c r="C38" s="385">
        <v>7264794.0899999999</v>
      </c>
      <c r="D38" s="385">
        <v>2653422</v>
      </c>
      <c r="E38" s="385">
        <v>1758159.83</v>
      </c>
      <c r="F38" s="385">
        <v>220097.24</v>
      </c>
      <c r="G38" s="385">
        <v>1639586</v>
      </c>
      <c r="H38" s="378">
        <f t="shared" si="1"/>
        <v>993529.01999999955</v>
      </c>
      <c r="I38" s="379">
        <f t="shared" si="3"/>
        <v>-63742</v>
      </c>
      <c r="J38" s="379">
        <v>-365019.96</v>
      </c>
      <c r="K38" s="381">
        <f t="shared" si="2"/>
        <v>-428761.96</v>
      </c>
      <c r="L38" s="379">
        <v>333133</v>
      </c>
      <c r="M38" s="382">
        <f t="shared" si="4"/>
        <v>-95628.960000000021</v>
      </c>
      <c r="O38" s="383"/>
    </row>
    <row r="39" spans="1:15" ht="15.75" x14ac:dyDescent="0.5">
      <c r="A39" s="384" t="s">
        <v>636</v>
      </c>
      <c r="B39" s="385">
        <v>30403.320600000003</v>
      </c>
      <c r="C39" s="385">
        <v>210629</v>
      </c>
      <c r="D39" s="385">
        <v>107918</v>
      </c>
      <c r="E39" s="385">
        <v>53921</v>
      </c>
      <c r="F39" s="385">
        <v>20744</v>
      </c>
      <c r="G39" s="385">
        <v>0</v>
      </c>
      <c r="H39" s="378">
        <f t="shared" si="1"/>
        <v>28046</v>
      </c>
      <c r="I39" s="379">
        <f t="shared" si="3"/>
        <v>0</v>
      </c>
      <c r="J39" s="379">
        <v>0</v>
      </c>
      <c r="K39" s="381">
        <f t="shared" si="2"/>
        <v>0</v>
      </c>
      <c r="L39" s="379">
        <v>0</v>
      </c>
      <c r="M39" s="382">
        <f t="shared" si="4"/>
        <v>0</v>
      </c>
      <c r="O39" s="383"/>
    </row>
    <row r="40" spans="1:15" ht="15.75" x14ac:dyDescent="0.5">
      <c r="A40" s="384" t="s">
        <v>637</v>
      </c>
      <c r="B40" s="385">
        <v>1197464.5824</v>
      </c>
      <c r="C40" s="385">
        <v>12375798.609999999</v>
      </c>
      <c r="D40" s="385">
        <v>5700335.5</v>
      </c>
      <c r="E40" s="385">
        <v>2519580.21</v>
      </c>
      <c r="F40" s="385">
        <v>4155882.42</v>
      </c>
      <c r="G40" s="385">
        <v>0</v>
      </c>
      <c r="H40" s="378">
        <f t="shared" si="1"/>
        <v>0.47999999951571226</v>
      </c>
      <c r="I40" s="379">
        <f t="shared" si="3"/>
        <v>0</v>
      </c>
      <c r="J40" s="379">
        <v>-697432.88</v>
      </c>
      <c r="K40" s="381">
        <f t="shared" si="2"/>
        <v>-697432.88</v>
      </c>
      <c r="L40" s="379">
        <v>1718000</v>
      </c>
      <c r="M40" s="382">
        <f t="shared" si="4"/>
        <v>0</v>
      </c>
      <c r="O40" s="383"/>
    </row>
    <row r="41" spans="1:15" ht="15.75" x14ac:dyDescent="0.5">
      <c r="A41" s="384" t="s">
        <v>638</v>
      </c>
      <c r="B41" s="385">
        <v>1741906.1978000004</v>
      </c>
      <c r="C41" s="385">
        <v>16013343.93</v>
      </c>
      <c r="D41" s="385">
        <v>2833347.1199999992</v>
      </c>
      <c r="E41" s="385">
        <v>12179540.09</v>
      </c>
      <c r="F41" s="385">
        <v>764466.67</v>
      </c>
      <c r="G41" s="385">
        <v>0</v>
      </c>
      <c r="H41" s="378">
        <f t="shared" si="1"/>
        <v>235990.05000000063</v>
      </c>
      <c r="I41" s="379">
        <f t="shared" si="3"/>
        <v>0</v>
      </c>
      <c r="J41" s="379">
        <v>0</v>
      </c>
      <c r="K41" s="381">
        <f t="shared" si="2"/>
        <v>0</v>
      </c>
      <c r="L41" s="379">
        <v>0</v>
      </c>
      <c r="M41" s="382">
        <f t="shared" si="4"/>
        <v>0</v>
      </c>
      <c r="O41" s="383"/>
    </row>
    <row r="42" spans="1:15" ht="15.75" x14ac:dyDescent="0.5">
      <c r="A42" s="384" t="s">
        <v>639</v>
      </c>
      <c r="B42" s="385">
        <v>777342.61150000012</v>
      </c>
      <c r="C42" s="385">
        <v>5101601</v>
      </c>
      <c r="D42" s="385">
        <v>3104481.54</v>
      </c>
      <c r="E42" s="385">
        <v>1547022</v>
      </c>
      <c r="F42" s="385">
        <v>0</v>
      </c>
      <c r="G42" s="385">
        <v>0</v>
      </c>
      <c r="H42" s="378">
        <f t="shared" si="1"/>
        <v>450097.45999999996</v>
      </c>
      <c r="I42" s="379">
        <f t="shared" si="3"/>
        <v>0</v>
      </c>
      <c r="J42" s="379">
        <v>-385692.65</v>
      </c>
      <c r="K42" s="381">
        <f t="shared" si="2"/>
        <v>-385692.65</v>
      </c>
      <c r="L42" s="379">
        <v>447147</v>
      </c>
      <c r="M42" s="382">
        <f t="shared" si="4"/>
        <v>0</v>
      </c>
      <c r="O42" s="383"/>
    </row>
    <row r="43" spans="1:15" ht="15.75" x14ac:dyDescent="0.5">
      <c r="A43" s="384" t="s">
        <v>640</v>
      </c>
      <c r="B43" s="385">
        <v>413725.37699999998</v>
      </c>
      <c r="C43" s="385">
        <v>2714038</v>
      </c>
      <c r="D43" s="385">
        <v>827358</v>
      </c>
      <c r="E43" s="385">
        <v>1601112</v>
      </c>
      <c r="F43" s="385">
        <v>170720</v>
      </c>
      <c r="G43" s="385">
        <v>0</v>
      </c>
      <c r="H43" s="378">
        <f t="shared" si="1"/>
        <v>114848</v>
      </c>
      <c r="I43" s="379">
        <f t="shared" si="3"/>
        <v>0</v>
      </c>
      <c r="J43" s="379">
        <v>0</v>
      </c>
      <c r="K43" s="381">
        <f t="shared" si="2"/>
        <v>0</v>
      </c>
      <c r="L43" s="379">
        <v>0</v>
      </c>
      <c r="M43" s="382">
        <f t="shared" si="4"/>
        <v>0</v>
      </c>
      <c r="O43" s="383"/>
    </row>
    <row r="44" spans="1:15" ht="15.75" x14ac:dyDescent="0.5">
      <c r="A44" s="384" t="s">
        <v>641</v>
      </c>
      <c r="B44" s="385">
        <v>167949.45990000002</v>
      </c>
      <c r="C44" s="385">
        <v>2248127</v>
      </c>
      <c r="D44" s="385">
        <v>578491</v>
      </c>
      <c r="E44" s="385">
        <v>1516880.2599999998</v>
      </c>
      <c r="F44" s="385">
        <v>0</v>
      </c>
      <c r="G44" s="385">
        <v>0</v>
      </c>
      <c r="H44" s="378">
        <f t="shared" si="1"/>
        <v>152755.74000000022</v>
      </c>
      <c r="I44" s="379">
        <f t="shared" si="3"/>
        <v>0</v>
      </c>
      <c r="J44" s="379">
        <v>0</v>
      </c>
      <c r="K44" s="381">
        <f t="shared" si="2"/>
        <v>0</v>
      </c>
      <c r="L44" s="379">
        <v>0</v>
      </c>
      <c r="M44" s="382">
        <f t="shared" si="4"/>
        <v>0</v>
      </c>
      <c r="O44" s="383"/>
    </row>
    <row r="45" spans="1:15" ht="15.75" x14ac:dyDescent="0.5">
      <c r="A45" s="384" t="s">
        <v>642</v>
      </c>
      <c r="B45" s="385">
        <v>406308.80369999993</v>
      </c>
      <c r="C45" s="385">
        <v>2855778.2699999996</v>
      </c>
      <c r="D45" s="385">
        <v>1371356.48</v>
      </c>
      <c r="E45" s="385">
        <v>1184416.52</v>
      </c>
      <c r="F45" s="385">
        <v>0</v>
      </c>
      <c r="G45" s="385">
        <v>0</v>
      </c>
      <c r="H45" s="378">
        <f t="shared" si="1"/>
        <v>300005.26999999955</v>
      </c>
      <c r="I45" s="379">
        <f t="shared" si="3"/>
        <v>0</v>
      </c>
      <c r="J45" s="379">
        <v>0</v>
      </c>
      <c r="K45" s="381">
        <f t="shared" si="2"/>
        <v>0</v>
      </c>
      <c r="L45" s="379">
        <v>0</v>
      </c>
      <c r="M45" s="382">
        <f t="shared" si="4"/>
        <v>0</v>
      </c>
      <c r="O45" s="383"/>
    </row>
    <row r="46" spans="1:15" ht="15.75" x14ac:dyDescent="0.5">
      <c r="A46" s="384" t="s">
        <v>643</v>
      </c>
      <c r="B46" s="385">
        <v>319598.17359999998</v>
      </c>
      <c r="C46" s="385">
        <v>3281512.38</v>
      </c>
      <c r="D46" s="385">
        <v>185510</v>
      </c>
      <c r="E46" s="385">
        <v>2837593.46</v>
      </c>
      <c r="F46" s="385">
        <v>116737.98</v>
      </c>
      <c r="G46" s="385">
        <v>0</v>
      </c>
      <c r="H46" s="378">
        <f t="shared" si="1"/>
        <v>141670.93999999994</v>
      </c>
      <c r="I46" s="379">
        <f t="shared" si="3"/>
        <v>0</v>
      </c>
      <c r="J46" s="379">
        <v>0</v>
      </c>
      <c r="K46" s="381">
        <f t="shared" si="2"/>
        <v>0</v>
      </c>
      <c r="L46" s="379">
        <v>0</v>
      </c>
      <c r="M46" s="382">
        <f t="shared" si="4"/>
        <v>0</v>
      </c>
      <c r="O46" s="383"/>
    </row>
    <row r="47" spans="1:15" ht="15.75" x14ac:dyDescent="0.5">
      <c r="A47" s="384" t="s">
        <v>644</v>
      </c>
      <c r="B47" s="385">
        <v>1009456.9586</v>
      </c>
      <c r="C47" s="385">
        <v>1504807.0799999998</v>
      </c>
      <c r="D47" s="385">
        <v>56471.06</v>
      </c>
      <c r="E47" s="385">
        <v>1387853.1099999999</v>
      </c>
      <c r="F47" s="385">
        <v>0</v>
      </c>
      <c r="G47" s="385">
        <v>0</v>
      </c>
      <c r="H47" s="378">
        <f t="shared" si="1"/>
        <v>60482.909999999916</v>
      </c>
      <c r="I47" s="379">
        <f t="shared" si="3"/>
        <v>0</v>
      </c>
      <c r="J47" s="379">
        <v>0</v>
      </c>
      <c r="K47" s="381">
        <f t="shared" si="2"/>
        <v>0</v>
      </c>
      <c r="L47" s="379">
        <v>0</v>
      </c>
      <c r="M47" s="382">
        <f t="shared" si="4"/>
        <v>0</v>
      </c>
      <c r="O47" s="383"/>
    </row>
    <row r="48" spans="1:15" ht="15.75" x14ac:dyDescent="0.5">
      <c r="A48" s="384" t="s">
        <v>645</v>
      </c>
      <c r="B48" s="385">
        <v>151694.76010000001</v>
      </c>
      <c r="C48" s="385">
        <v>835315.94000000018</v>
      </c>
      <c r="D48" s="385">
        <v>213889</v>
      </c>
      <c r="E48" s="385">
        <v>514735.79</v>
      </c>
      <c r="F48" s="385">
        <v>0</v>
      </c>
      <c r="G48" s="385">
        <v>0</v>
      </c>
      <c r="H48" s="378">
        <f t="shared" si="1"/>
        <v>106691.1500000002</v>
      </c>
      <c r="I48" s="379">
        <f t="shared" si="3"/>
        <v>0</v>
      </c>
      <c r="J48" s="379">
        <v>0</v>
      </c>
      <c r="K48" s="381">
        <f t="shared" si="2"/>
        <v>0</v>
      </c>
      <c r="L48" s="379">
        <v>0</v>
      </c>
      <c r="M48" s="382">
        <f t="shared" si="4"/>
        <v>0</v>
      </c>
      <c r="O48" s="383"/>
    </row>
    <row r="49" spans="1:15" ht="15.75" x14ac:dyDescent="0.5">
      <c r="A49" s="384" t="s">
        <v>646</v>
      </c>
      <c r="B49" s="385">
        <v>181659.71950000001</v>
      </c>
      <c r="C49" s="385">
        <v>544645.30000000005</v>
      </c>
      <c r="D49" s="385">
        <v>55066.63</v>
      </c>
      <c r="E49" s="385">
        <v>310216</v>
      </c>
      <c r="F49" s="385">
        <v>0</v>
      </c>
      <c r="G49" s="385">
        <v>0</v>
      </c>
      <c r="H49" s="378">
        <f t="shared" si="1"/>
        <v>179362.67000000004</v>
      </c>
      <c r="I49" s="379">
        <f t="shared" si="3"/>
        <v>0</v>
      </c>
      <c r="J49" s="379">
        <v>0</v>
      </c>
      <c r="K49" s="381">
        <f t="shared" si="2"/>
        <v>0</v>
      </c>
      <c r="L49" s="379">
        <v>0</v>
      </c>
      <c r="M49" s="382">
        <f t="shared" si="4"/>
        <v>0</v>
      </c>
      <c r="O49" s="383"/>
    </row>
    <row r="50" spans="1:15" ht="15.75" x14ac:dyDescent="0.5">
      <c r="A50" s="389" t="s">
        <v>647</v>
      </c>
      <c r="B50" s="390">
        <v>8382.0735000000004</v>
      </c>
      <c r="C50" s="390">
        <v>240601</v>
      </c>
      <c r="D50" s="390">
        <v>199972</v>
      </c>
      <c r="E50" s="390">
        <v>9257</v>
      </c>
      <c r="F50" s="390">
        <v>31097</v>
      </c>
      <c r="G50" s="390">
        <v>0</v>
      </c>
      <c r="H50" s="378">
        <f t="shared" si="1"/>
        <v>275</v>
      </c>
      <c r="I50" s="379">
        <f t="shared" si="3"/>
        <v>0</v>
      </c>
      <c r="J50" s="391">
        <v>0</v>
      </c>
      <c r="K50" s="381">
        <f t="shared" si="2"/>
        <v>0</v>
      </c>
      <c r="L50" s="379">
        <v>0</v>
      </c>
      <c r="M50" s="382">
        <f t="shared" si="4"/>
        <v>0</v>
      </c>
      <c r="O50" s="383"/>
    </row>
    <row r="51" spans="1:15" ht="15.75" x14ac:dyDescent="0.5">
      <c r="A51" s="384" t="s">
        <v>648</v>
      </c>
      <c r="B51" s="385">
        <v>44312.485500000003</v>
      </c>
      <c r="C51" s="385">
        <v>212314.15</v>
      </c>
      <c r="D51" s="385">
        <v>53061.599999999999</v>
      </c>
      <c r="E51" s="385">
        <v>144206.98000000001</v>
      </c>
      <c r="F51" s="385">
        <v>0</v>
      </c>
      <c r="G51" s="385">
        <v>0</v>
      </c>
      <c r="H51" s="378">
        <f t="shared" si="1"/>
        <v>15045.569999999978</v>
      </c>
      <c r="I51" s="379">
        <f t="shared" si="3"/>
        <v>0</v>
      </c>
      <c r="J51" s="379">
        <v>0</v>
      </c>
      <c r="K51" s="381">
        <f t="shared" si="2"/>
        <v>0</v>
      </c>
      <c r="L51" s="379">
        <v>0</v>
      </c>
      <c r="M51" s="382">
        <f t="shared" si="4"/>
        <v>0</v>
      </c>
      <c r="O51" s="383"/>
    </row>
    <row r="52" spans="1:15" ht="15.75" x14ac:dyDescent="0.5">
      <c r="A52" s="384" t="s">
        <v>649</v>
      </c>
      <c r="B52" s="385">
        <v>256074.89950000003</v>
      </c>
      <c r="C52" s="385">
        <v>1442576</v>
      </c>
      <c r="D52" s="385">
        <v>413367</v>
      </c>
      <c r="E52" s="385">
        <v>889867</v>
      </c>
      <c r="F52" s="385">
        <v>0</v>
      </c>
      <c r="G52" s="385">
        <v>0</v>
      </c>
      <c r="H52" s="378">
        <f t="shared" si="1"/>
        <v>139342</v>
      </c>
      <c r="I52" s="379">
        <f t="shared" si="3"/>
        <v>0</v>
      </c>
      <c r="J52" s="379">
        <v>0</v>
      </c>
      <c r="K52" s="381">
        <f t="shared" si="2"/>
        <v>0</v>
      </c>
      <c r="L52" s="379">
        <v>0</v>
      </c>
      <c r="M52" s="382">
        <f t="shared" si="4"/>
        <v>0</v>
      </c>
      <c r="O52" s="383"/>
    </row>
    <row r="53" spans="1:15" ht="15.75" x14ac:dyDescent="0.5">
      <c r="A53" s="384" t="s">
        <v>650</v>
      </c>
      <c r="B53" s="385">
        <v>294079.97480000003</v>
      </c>
      <c r="C53" s="385">
        <v>2544072.92</v>
      </c>
      <c r="D53" s="385">
        <v>19615</v>
      </c>
      <c r="E53" s="385">
        <v>1587776.51</v>
      </c>
      <c r="F53" s="385">
        <v>477093.31</v>
      </c>
      <c r="G53" s="385">
        <v>452298</v>
      </c>
      <c r="H53" s="378">
        <f t="shared" si="1"/>
        <v>7290.0999999999185</v>
      </c>
      <c r="I53" s="379">
        <f t="shared" si="3"/>
        <v>0</v>
      </c>
      <c r="J53" s="379">
        <v>0</v>
      </c>
      <c r="K53" s="381">
        <f t="shared" si="2"/>
        <v>0</v>
      </c>
      <c r="L53" s="379">
        <v>0</v>
      </c>
      <c r="M53" s="382">
        <f t="shared" si="4"/>
        <v>0</v>
      </c>
      <c r="O53" s="383"/>
    </row>
    <row r="54" spans="1:15" ht="15.75" x14ac:dyDescent="0.5">
      <c r="A54" s="384" t="s">
        <v>651</v>
      </c>
      <c r="B54" s="385">
        <v>277343.84650000004</v>
      </c>
      <c r="C54" s="385">
        <v>1019803</v>
      </c>
      <c r="D54" s="385">
        <v>646280</v>
      </c>
      <c r="E54" s="385">
        <v>102643</v>
      </c>
      <c r="F54" s="385">
        <v>222345</v>
      </c>
      <c r="G54" s="385">
        <v>0</v>
      </c>
      <c r="H54" s="378">
        <f t="shared" si="1"/>
        <v>48535</v>
      </c>
      <c r="I54" s="379">
        <f t="shared" si="3"/>
        <v>0</v>
      </c>
      <c r="J54" s="379">
        <v>0</v>
      </c>
      <c r="K54" s="381">
        <f t="shared" si="2"/>
        <v>0</v>
      </c>
      <c r="L54" s="379">
        <v>0</v>
      </c>
      <c r="M54" s="382">
        <f t="shared" si="4"/>
        <v>0</v>
      </c>
      <c r="O54" s="383"/>
    </row>
    <row r="55" spans="1:15" ht="15.75" x14ac:dyDescent="0.5">
      <c r="A55" s="384" t="s">
        <v>652</v>
      </c>
      <c r="B55" s="385">
        <v>64774.569100000001</v>
      </c>
      <c r="C55" s="385">
        <v>840469</v>
      </c>
      <c r="D55" s="385">
        <v>482312</v>
      </c>
      <c r="E55" s="385">
        <v>255913</v>
      </c>
      <c r="F55" s="385">
        <v>9763</v>
      </c>
      <c r="G55" s="385">
        <v>60840</v>
      </c>
      <c r="H55" s="378">
        <f t="shared" si="1"/>
        <v>31641</v>
      </c>
      <c r="I55" s="379">
        <f t="shared" si="3"/>
        <v>0</v>
      </c>
      <c r="J55" s="379">
        <v>-87253</v>
      </c>
      <c r="K55" s="381">
        <f t="shared" si="2"/>
        <v>-87253</v>
      </c>
      <c r="L55" s="379">
        <v>80837.19</v>
      </c>
      <c r="M55" s="382">
        <f t="shared" si="4"/>
        <v>-6415.8099999999977</v>
      </c>
      <c r="O55" s="383"/>
    </row>
    <row r="56" spans="1:15" ht="15.75" x14ac:dyDescent="0.5">
      <c r="A56" s="384" t="s">
        <v>653</v>
      </c>
      <c r="B56" s="385">
        <v>49439.247299999995</v>
      </c>
      <c r="C56" s="385">
        <v>867127</v>
      </c>
      <c r="D56" s="385">
        <v>678622</v>
      </c>
      <c r="E56" s="385">
        <v>137161</v>
      </c>
      <c r="F56" s="385">
        <v>8473</v>
      </c>
      <c r="G56" s="385">
        <v>0</v>
      </c>
      <c r="H56" s="378">
        <f t="shared" si="1"/>
        <v>42871</v>
      </c>
      <c r="I56" s="379">
        <f t="shared" si="3"/>
        <v>0</v>
      </c>
      <c r="J56" s="379">
        <v>0</v>
      </c>
      <c r="K56" s="381">
        <f t="shared" si="2"/>
        <v>0</v>
      </c>
      <c r="L56" s="379">
        <v>0</v>
      </c>
      <c r="M56" s="382">
        <f t="shared" si="4"/>
        <v>0</v>
      </c>
      <c r="O56" s="383"/>
    </row>
    <row r="57" spans="1:15" ht="15.75" x14ac:dyDescent="0.5">
      <c r="A57" s="384" t="s">
        <v>654</v>
      </c>
      <c r="B57" s="385">
        <v>21059.356899999999</v>
      </c>
      <c r="C57" s="385">
        <v>45658</v>
      </c>
      <c r="D57" s="385">
        <v>0</v>
      </c>
      <c r="E57" s="385">
        <v>28359</v>
      </c>
      <c r="F57" s="385">
        <v>0</v>
      </c>
      <c r="G57" s="385">
        <v>0</v>
      </c>
      <c r="H57" s="378">
        <f t="shared" si="1"/>
        <v>17299</v>
      </c>
      <c r="I57" s="379">
        <f t="shared" si="3"/>
        <v>0</v>
      </c>
      <c r="J57" s="379">
        <v>0</v>
      </c>
      <c r="K57" s="381">
        <f t="shared" si="2"/>
        <v>0</v>
      </c>
      <c r="L57" s="379">
        <v>0</v>
      </c>
      <c r="M57" s="382">
        <f t="shared" si="4"/>
        <v>0</v>
      </c>
      <c r="O57" s="383"/>
    </row>
    <row r="58" spans="1:15" ht="15.75" x14ac:dyDescent="0.5">
      <c r="A58" s="384" t="s">
        <v>655</v>
      </c>
      <c r="B58" s="385">
        <v>285021.98880000005</v>
      </c>
      <c r="C58" s="385">
        <v>1651000.53</v>
      </c>
      <c r="D58" s="385">
        <v>1138625.33</v>
      </c>
      <c r="E58" s="385">
        <v>211991.89</v>
      </c>
      <c r="F58" s="385">
        <v>130035</v>
      </c>
      <c r="G58" s="385">
        <v>0</v>
      </c>
      <c r="H58" s="378">
        <f t="shared" si="1"/>
        <v>170348.30999999994</v>
      </c>
      <c r="I58" s="379">
        <f t="shared" si="3"/>
        <v>0</v>
      </c>
      <c r="J58" s="379">
        <v>0</v>
      </c>
      <c r="K58" s="381">
        <f t="shared" si="2"/>
        <v>0</v>
      </c>
      <c r="L58" s="379">
        <v>49200</v>
      </c>
      <c r="M58" s="382">
        <f t="shared" si="4"/>
        <v>0</v>
      </c>
      <c r="O58" s="383"/>
    </row>
    <row r="59" spans="1:15" ht="15.75" x14ac:dyDescent="0.5">
      <c r="A59" s="384" t="s">
        <v>656</v>
      </c>
      <c r="B59" s="385">
        <v>40964.9</v>
      </c>
      <c r="C59" s="385">
        <v>107267</v>
      </c>
      <c r="D59" s="385">
        <v>0</v>
      </c>
      <c r="E59" s="385">
        <v>66302</v>
      </c>
      <c r="F59" s="385">
        <v>0</v>
      </c>
      <c r="G59" s="385">
        <v>0</v>
      </c>
      <c r="H59" s="378">
        <f t="shared" si="1"/>
        <v>40965</v>
      </c>
      <c r="I59" s="379">
        <f t="shared" si="3"/>
        <v>0</v>
      </c>
      <c r="J59" s="379">
        <v>0</v>
      </c>
      <c r="K59" s="381">
        <f t="shared" si="2"/>
        <v>0</v>
      </c>
      <c r="L59" s="379">
        <v>0</v>
      </c>
      <c r="M59" s="382">
        <f t="shared" si="4"/>
        <v>0</v>
      </c>
      <c r="O59" s="383"/>
    </row>
    <row r="60" spans="1:15" ht="15.75" x14ac:dyDescent="0.5">
      <c r="A60" s="384" t="s">
        <v>657</v>
      </c>
      <c r="B60" s="385">
        <v>517580.37040000001</v>
      </c>
      <c r="C60" s="385">
        <v>3694159.71</v>
      </c>
      <c r="D60" s="385">
        <v>3382663.42</v>
      </c>
      <c r="E60" s="385">
        <v>123160.95999999999</v>
      </c>
      <c r="F60" s="385">
        <v>0</v>
      </c>
      <c r="G60" s="385">
        <v>0</v>
      </c>
      <c r="H60" s="378">
        <f t="shared" si="1"/>
        <v>188335.33000000005</v>
      </c>
      <c r="I60" s="379">
        <f t="shared" si="3"/>
        <v>0</v>
      </c>
      <c r="J60" s="379">
        <v>0</v>
      </c>
      <c r="K60" s="381">
        <f t="shared" si="2"/>
        <v>0</v>
      </c>
      <c r="L60" s="379">
        <v>0</v>
      </c>
      <c r="M60" s="382">
        <f t="shared" si="4"/>
        <v>0</v>
      </c>
      <c r="O60" s="383"/>
    </row>
    <row r="61" spans="1:15" ht="15.75" x14ac:dyDescent="0.5">
      <c r="A61" s="384" t="s">
        <v>658</v>
      </c>
      <c r="B61" s="385">
        <v>135484.89000000001</v>
      </c>
      <c r="C61" s="385">
        <v>1005353</v>
      </c>
      <c r="D61" s="385">
        <v>385513</v>
      </c>
      <c r="E61" s="385">
        <v>449885</v>
      </c>
      <c r="F61" s="385">
        <v>46322</v>
      </c>
      <c r="G61" s="385">
        <v>0</v>
      </c>
      <c r="H61" s="378">
        <f t="shared" si="1"/>
        <v>123633</v>
      </c>
      <c r="I61" s="379">
        <f t="shared" si="3"/>
        <v>0</v>
      </c>
      <c r="J61" s="379">
        <v>0</v>
      </c>
      <c r="K61" s="381">
        <f t="shared" si="2"/>
        <v>0</v>
      </c>
      <c r="L61" s="379">
        <v>0</v>
      </c>
      <c r="M61" s="382">
        <f t="shared" si="4"/>
        <v>0</v>
      </c>
      <c r="O61" s="383"/>
    </row>
    <row r="62" spans="1:15" ht="15.75" x14ac:dyDescent="0.5">
      <c r="A62" s="384" t="s">
        <v>659</v>
      </c>
      <c r="B62" s="385">
        <v>65843.937600000005</v>
      </c>
      <c r="C62" s="385">
        <v>729384</v>
      </c>
      <c r="D62" s="385">
        <v>537971</v>
      </c>
      <c r="E62" s="385">
        <v>80642.42</v>
      </c>
      <c r="F62" s="385">
        <v>48302.79</v>
      </c>
      <c r="G62" s="385">
        <v>0</v>
      </c>
      <c r="H62" s="378">
        <f t="shared" si="1"/>
        <v>62467.79</v>
      </c>
      <c r="I62" s="379">
        <f t="shared" si="3"/>
        <v>0</v>
      </c>
      <c r="J62" s="379">
        <v>0</v>
      </c>
      <c r="K62" s="381">
        <f t="shared" si="2"/>
        <v>0</v>
      </c>
      <c r="L62" s="379">
        <v>0</v>
      </c>
      <c r="M62" s="382">
        <f t="shared" si="4"/>
        <v>0</v>
      </c>
      <c r="O62" s="383"/>
    </row>
    <row r="63" spans="1:15" ht="15.75" x14ac:dyDescent="0.5">
      <c r="A63" s="392" t="s">
        <v>660</v>
      </c>
      <c r="B63" s="393">
        <f>SUM(B5:B62)</f>
        <v>24955445.117112</v>
      </c>
      <c r="C63" s="393">
        <f t="shared" ref="C63:M63" si="5">SUM(C5:C62)</f>
        <v>200423775.19000006</v>
      </c>
      <c r="D63" s="393">
        <f t="shared" si="5"/>
        <v>93971273.161200017</v>
      </c>
      <c r="E63" s="393">
        <f t="shared" si="5"/>
        <v>73924774</v>
      </c>
      <c r="F63" s="393">
        <f t="shared" si="5"/>
        <v>11740517.4</v>
      </c>
      <c r="G63" s="393">
        <f t="shared" si="5"/>
        <v>5199227.96</v>
      </c>
      <c r="H63" s="393">
        <f t="shared" si="5"/>
        <v>15587982.668800039</v>
      </c>
      <c r="I63" s="381">
        <f t="shared" si="5"/>
        <v>-1031203</v>
      </c>
      <c r="J63" s="381">
        <f t="shared" si="5"/>
        <v>-6742078.5700000003</v>
      </c>
      <c r="K63" s="381">
        <f t="shared" si="5"/>
        <v>-7773281.5700000003</v>
      </c>
      <c r="L63" s="381">
        <f t="shared" si="5"/>
        <v>8053317.1900000004</v>
      </c>
      <c r="M63" s="381">
        <f t="shared" si="5"/>
        <v>-1774213.8699999999</v>
      </c>
    </row>
    <row r="65" spans="1:11" ht="15.75" x14ac:dyDescent="0.5">
      <c r="A65" s="394" t="s">
        <v>661</v>
      </c>
      <c r="B65" s="395"/>
      <c r="C65" s="395"/>
      <c r="D65" s="395"/>
      <c r="E65" s="395"/>
      <c r="F65" s="395"/>
      <c r="G65" s="395"/>
      <c r="H65" s="395"/>
      <c r="I65" s="395"/>
      <c r="J65" s="395"/>
      <c r="K65" s="395"/>
    </row>
    <row r="66" spans="1:11" x14ac:dyDescent="0.45">
      <c r="H66" s="383"/>
    </row>
  </sheetData>
  <mergeCells count="1">
    <mergeCell ref="A2:L2"/>
  </mergeCells>
  <pageMargins left="0.7" right="0.7" top="0.75" bottom="0.75" header="0.3" footer="0.3"/>
  <pageSetup scale="59" fitToHeight="0" orientation="landscape" r:id="rId1"/>
  <headerFooter>
    <oddHeader>&amp;RAttachment 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1"/>
  <sheetViews>
    <sheetView tabSelected="1" zoomScale="85" zoomScaleNormal="85" workbookViewId="0">
      <selection activeCell="I49" sqref="I49"/>
    </sheetView>
  </sheetViews>
  <sheetFormatPr defaultColWidth="9.1328125" defaultRowHeight="13.15" x14ac:dyDescent="0.4"/>
  <cols>
    <col min="1" max="1" width="17.59765625" style="414" customWidth="1"/>
    <col min="2" max="3" width="17.59765625" style="415" customWidth="1"/>
    <col min="4" max="4" width="17.59765625" style="402" customWidth="1"/>
    <col min="5" max="16384" width="9.1328125" style="408"/>
  </cols>
  <sheetData>
    <row r="1" spans="1:4" s="399" customFormat="1" ht="18" customHeight="1" x14ac:dyDescent="0.65">
      <c r="A1" s="396" t="s">
        <v>662</v>
      </c>
      <c r="B1" s="396"/>
      <c r="C1" s="397"/>
      <c r="D1" s="398"/>
    </row>
    <row r="2" spans="1:4" s="402" customFormat="1" ht="35.25" x14ac:dyDescent="0.35">
      <c r="A2" s="400" t="s">
        <v>63</v>
      </c>
      <c r="B2" s="401" t="s">
        <v>663</v>
      </c>
      <c r="C2" s="401" t="s">
        <v>664</v>
      </c>
      <c r="D2" s="401" t="s">
        <v>665</v>
      </c>
    </row>
    <row r="3" spans="1:4" s="402" customFormat="1" ht="28.5" customHeight="1" x14ac:dyDescent="0.35">
      <c r="A3" s="403"/>
      <c r="B3" s="404" t="s">
        <v>590</v>
      </c>
      <c r="C3" s="404" t="s">
        <v>591</v>
      </c>
      <c r="D3" s="403" t="s">
        <v>592</v>
      </c>
    </row>
    <row r="4" spans="1:4" x14ac:dyDescent="0.4">
      <c r="A4" s="405" t="s">
        <v>53</v>
      </c>
      <c r="B4" s="406">
        <v>2996225</v>
      </c>
      <c r="C4" s="406">
        <v>569404</v>
      </c>
      <c r="D4" s="407">
        <f>SUM(B4:C4)</f>
        <v>3565629</v>
      </c>
    </row>
    <row r="5" spans="1:4" x14ac:dyDescent="0.4">
      <c r="A5" s="405" t="s">
        <v>4</v>
      </c>
      <c r="B5" s="406">
        <v>1510</v>
      </c>
      <c r="C5" s="406">
        <v>288.214364465259</v>
      </c>
      <c r="D5" s="407">
        <f t="shared" ref="D5:D62" si="0">SUM(B5:C5)</f>
        <v>1798.214364465259</v>
      </c>
    </row>
    <row r="6" spans="1:4" x14ac:dyDescent="0.4">
      <c r="A6" s="405" t="s">
        <v>5</v>
      </c>
      <c r="B6" s="406">
        <v>122453</v>
      </c>
      <c r="C6" s="406">
        <v>21243</v>
      </c>
      <c r="D6" s="407">
        <f t="shared" si="0"/>
        <v>143696</v>
      </c>
    </row>
    <row r="7" spans="1:4" x14ac:dyDescent="0.4">
      <c r="A7" s="409" t="s">
        <v>19</v>
      </c>
      <c r="B7" s="406">
        <v>672500</v>
      </c>
      <c r="C7" s="406">
        <v>122046</v>
      </c>
      <c r="D7" s="407">
        <f t="shared" si="0"/>
        <v>794546</v>
      </c>
    </row>
    <row r="8" spans="1:4" x14ac:dyDescent="0.4">
      <c r="A8" s="405" t="s">
        <v>6</v>
      </c>
      <c r="B8" s="406">
        <v>187858</v>
      </c>
      <c r="C8" s="406">
        <v>32964</v>
      </c>
      <c r="D8" s="407">
        <f t="shared" si="0"/>
        <v>220822</v>
      </c>
    </row>
    <row r="9" spans="1:4" x14ac:dyDescent="0.4">
      <c r="A9" s="409" t="s">
        <v>7</v>
      </c>
      <c r="B9" s="406">
        <v>43948</v>
      </c>
      <c r="C9" s="406">
        <v>0</v>
      </c>
      <c r="D9" s="407">
        <f t="shared" si="0"/>
        <v>43948</v>
      </c>
    </row>
    <row r="10" spans="1:4" x14ac:dyDescent="0.4">
      <c r="A10" s="405" t="s">
        <v>41</v>
      </c>
      <c r="B10" s="406">
        <v>2017233</v>
      </c>
      <c r="C10" s="406">
        <v>346377</v>
      </c>
      <c r="D10" s="407">
        <f t="shared" si="0"/>
        <v>2363610</v>
      </c>
    </row>
    <row r="11" spans="1:4" x14ac:dyDescent="0.4">
      <c r="A11" s="409" t="s">
        <v>8</v>
      </c>
      <c r="B11" s="406">
        <v>214730</v>
      </c>
      <c r="C11" s="406">
        <v>0</v>
      </c>
      <c r="D11" s="407">
        <f t="shared" si="0"/>
        <v>214730</v>
      </c>
    </row>
    <row r="12" spans="1:4" x14ac:dyDescent="0.4">
      <c r="A12" s="405" t="s">
        <v>20</v>
      </c>
      <c r="B12" s="406">
        <v>476686</v>
      </c>
      <c r="C12" s="406">
        <v>72078</v>
      </c>
      <c r="D12" s="407">
        <f t="shared" si="0"/>
        <v>548764</v>
      </c>
    </row>
    <row r="13" spans="1:4" x14ac:dyDescent="0.4">
      <c r="A13" s="409" t="s">
        <v>42</v>
      </c>
      <c r="B13" s="406">
        <v>2596644</v>
      </c>
      <c r="C13" s="406">
        <v>419102</v>
      </c>
      <c r="D13" s="407">
        <f t="shared" si="0"/>
        <v>3015746</v>
      </c>
    </row>
    <row r="14" spans="1:4" x14ac:dyDescent="0.4">
      <c r="A14" s="405" t="s">
        <v>9</v>
      </c>
      <c r="B14" s="406">
        <v>111158</v>
      </c>
      <c r="C14" s="406">
        <v>0</v>
      </c>
      <c r="D14" s="407">
        <f t="shared" si="0"/>
        <v>111158</v>
      </c>
    </row>
    <row r="15" spans="1:4" x14ac:dyDescent="0.4">
      <c r="A15" s="409" t="s">
        <v>21</v>
      </c>
      <c r="B15" s="406">
        <v>522682</v>
      </c>
      <c r="C15" s="406">
        <v>0</v>
      </c>
      <c r="D15" s="407">
        <f t="shared" si="0"/>
        <v>522682</v>
      </c>
    </row>
    <row r="16" spans="1:4" x14ac:dyDescent="0.4">
      <c r="A16" s="409" t="s">
        <v>22</v>
      </c>
      <c r="B16" s="406">
        <v>498993</v>
      </c>
      <c r="C16" s="406">
        <v>77157</v>
      </c>
      <c r="D16" s="407">
        <f t="shared" si="0"/>
        <v>576150</v>
      </c>
    </row>
    <row r="17" spans="1:4" x14ac:dyDescent="0.4">
      <c r="A17" s="405" t="s">
        <v>10</v>
      </c>
      <c r="B17" s="406">
        <v>45459</v>
      </c>
      <c r="C17" s="406">
        <v>0</v>
      </c>
      <c r="D17" s="407">
        <f t="shared" si="0"/>
        <v>45459</v>
      </c>
    </row>
    <row r="18" spans="1:4" x14ac:dyDescent="0.4">
      <c r="A18" s="405" t="s">
        <v>43</v>
      </c>
      <c r="B18" s="406">
        <v>2253767</v>
      </c>
      <c r="C18" s="406">
        <v>411043</v>
      </c>
      <c r="D18" s="407">
        <f t="shared" si="0"/>
        <v>2664810</v>
      </c>
    </row>
    <row r="19" spans="1:4" x14ac:dyDescent="0.4">
      <c r="A19" s="409" t="s">
        <v>23</v>
      </c>
      <c r="B19" s="406">
        <v>566591</v>
      </c>
      <c r="C19" s="406">
        <v>134166</v>
      </c>
      <c r="D19" s="407">
        <f t="shared" si="0"/>
        <v>700757</v>
      </c>
    </row>
    <row r="20" spans="1:4" x14ac:dyDescent="0.4">
      <c r="A20" s="405" t="s">
        <v>24</v>
      </c>
      <c r="B20" s="406">
        <v>272201</v>
      </c>
      <c r="C20" s="406">
        <v>0</v>
      </c>
      <c r="D20" s="407">
        <f t="shared" si="0"/>
        <v>272201</v>
      </c>
    </row>
    <row r="21" spans="1:4" x14ac:dyDescent="0.4">
      <c r="A21" s="409" t="s">
        <v>11</v>
      </c>
      <c r="B21" s="406">
        <v>106891</v>
      </c>
      <c r="C21" s="406">
        <v>0</v>
      </c>
      <c r="D21" s="407">
        <f t="shared" si="0"/>
        <v>106891</v>
      </c>
    </row>
    <row r="22" spans="1:4" x14ac:dyDescent="0.4">
      <c r="A22" s="409" t="s">
        <v>54</v>
      </c>
      <c r="B22" s="406">
        <v>50031302</v>
      </c>
      <c r="C22" s="406">
        <v>10529583</v>
      </c>
      <c r="D22" s="407">
        <f t="shared" si="0"/>
        <v>60560885</v>
      </c>
    </row>
    <row r="23" spans="1:4" x14ac:dyDescent="0.4">
      <c r="A23" s="405" t="s">
        <v>25</v>
      </c>
      <c r="B23" s="406">
        <v>440145</v>
      </c>
      <c r="C23" s="406">
        <v>94929</v>
      </c>
      <c r="D23" s="407">
        <f t="shared" si="0"/>
        <v>535074</v>
      </c>
    </row>
    <row r="24" spans="1:4" x14ac:dyDescent="0.4">
      <c r="A24" s="405" t="s">
        <v>26</v>
      </c>
      <c r="B24" s="406">
        <v>311538</v>
      </c>
      <c r="C24" s="406">
        <v>0</v>
      </c>
      <c r="D24" s="407">
        <f t="shared" si="0"/>
        <v>311538</v>
      </c>
    </row>
    <row r="25" spans="1:4" x14ac:dyDescent="0.4">
      <c r="A25" s="409" t="s">
        <v>12</v>
      </c>
      <c r="B25" s="406">
        <v>38070</v>
      </c>
      <c r="C25" s="406">
        <v>0</v>
      </c>
      <c r="D25" s="407">
        <f t="shared" si="0"/>
        <v>38070</v>
      </c>
    </row>
    <row r="26" spans="1:4" x14ac:dyDescent="0.4">
      <c r="A26" s="409" t="s">
        <v>27</v>
      </c>
      <c r="B26" s="406">
        <v>440581</v>
      </c>
      <c r="C26" s="406">
        <v>0</v>
      </c>
      <c r="D26" s="407">
        <f t="shared" si="0"/>
        <v>440581</v>
      </c>
    </row>
    <row r="27" spans="1:4" x14ac:dyDescent="0.4">
      <c r="A27" s="409" t="s">
        <v>28</v>
      </c>
      <c r="B27" s="406">
        <v>710767</v>
      </c>
      <c r="C27" s="406">
        <v>133493</v>
      </c>
      <c r="D27" s="407">
        <f t="shared" si="0"/>
        <v>844260</v>
      </c>
    </row>
    <row r="28" spans="1:4" x14ac:dyDescent="0.4">
      <c r="A28" s="409" t="s">
        <v>13</v>
      </c>
      <c r="B28" s="406">
        <v>24065</v>
      </c>
      <c r="C28" s="406">
        <v>0</v>
      </c>
      <c r="D28" s="407">
        <f t="shared" si="0"/>
        <v>24065</v>
      </c>
    </row>
    <row r="29" spans="1:4" x14ac:dyDescent="0.4">
      <c r="A29" s="405" t="s">
        <v>14</v>
      </c>
      <c r="B29" s="406">
        <v>13956</v>
      </c>
      <c r="C29" s="406">
        <v>0</v>
      </c>
      <c r="D29" s="407">
        <f t="shared" si="0"/>
        <v>13956</v>
      </c>
    </row>
    <row r="30" spans="1:4" x14ac:dyDescent="0.4">
      <c r="A30" s="405" t="s">
        <v>44</v>
      </c>
      <c r="B30" s="406">
        <v>561158</v>
      </c>
      <c r="C30" s="406">
        <v>121417</v>
      </c>
      <c r="D30" s="407">
        <f t="shared" si="0"/>
        <v>682575</v>
      </c>
    </row>
    <row r="31" spans="1:4" x14ac:dyDescent="0.4">
      <c r="A31" s="405" t="s">
        <v>29</v>
      </c>
      <c r="B31" s="406">
        <v>262119</v>
      </c>
      <c r="C31" s="406">
        <v>52932</v>
      </c>
      <c r="D31" s="407">
        <f t="shared" si="0"/>
        <v>315051</v>
      </c>
    </row>
    <row r="32" spans="1:4" x14ac:dyDescent="0.4">
      <c r="A32" s="405" t="s">
        <v>30</v>
      </c>
      <c r="B32" s="406">
        <v>202832</v>
      </c>
      <c r="C32" s="406">
        <v>0</v>
      </c>
      <c r="D32" s="407">
        <f t="shared" si="0"/>
        <v>202832</v>
      </c>
    </row>
    <row r="33" spans="1:4" x14ac:dyDescent="0.4">
      <c r="A33" s="405" t="s">
        <v>55</v>
      </c>
      <c r="B33" s="406">
        <v>4535960</v>
      </c>
      <c r="C33" s="406">
        <v>830179</v>
      </c>
      <c r="D33" s="407">
        <f t="shared" si="0"/>
        <v>5366139</v>
      </c>
    </row>
    <row r="34" spans="1:4" x14ac:dyDescent="0.4">
      <c r="A34" s="405" t="s">
        <v>31</v>
      </c>
      <c r="B34" s="406">
        <v>735292</v>
      </c>
      <c r="C34" s="406">
        <v>160260</v>
      </c>
      <c r="D34" s="407">
        <f t="shared" si="0"/>
        <v>895552</v>
      </c>
    </row>
    <row r="35" spans="1:4" x14ac:dyDescent="0.4">
      <c r="A35" s="409" t="s">
        <v>15</v>
      </c>
      <c r="B35" s="406">
        <v>151555</v>
      </c>
      <c r="C35" s="406">
        <v>0</v>
      </c>
      <c r="D35" s="407">
        <f t="shared" si="0"/>
        <v>151555</v>
      </c>
    </row>
    <row r="36" spans="1:4" x14ac:dyDescent="0.4">
      <c r="A36" s="405" t="s">
        <v>56</v>
      </c>
      <c r="B36" s="406">
        <v>7234109</v>
      </c>
      <c r="C36" s="406">
        <v>1571901</v>
      </c>
      <c r="D36" s="407">
        <f t="shared" si="0"/>
        <v>8806010</v>
      </c>
    </row>
    <row r="37" spans="1:4" x14ac:dyDescent="0.4">
      <c r="A37" s="405" t="s">
        <v>57</v>
      </c>
      <c r="B37" s="406">
        <v>4794519</v>
      </c>
      <c r="C37" s="406">
        <v>814561</v>
      </c>
      <c r="D37" s="407">
        <f t="shared" si="0"/>
        <v>5609080</v>
      </c>
    </row>
    <row r="38" spans="1:4" x14ac:dyDescent="0.4">
      <c r="A38" s="405" t="s">
        <v>16</v>
      </c>
      <c r="B38" s="406">
        <v>92411</v>
      </c>
      <c r="C38" s="406">
        <v>19999</v>
      </c>
      <c r="D38" s="407">
        <f t="shared" si="0"/>
        <v>112410</v>
      </c>
    </row>
    <row r="39" spans="1:4" x14ac:dyDescent="0.4">
      <c r="A39" s="405" t="s">
        <v>58</v>
      </c>
      <c r="B39" s="406">
        <v>6964161</v>
      </c>
      <c r="C39" s="406">
        <v>1550542</v>
      </c>
      <c r="D39" s="407">
        <f t="shared" si="0"/>
        <v>8514703</v>
      </c>
    </row>
    <row r="40" spans="1:4" x14ac:dyDescent="0.4">
      <c r="A40" s="405" t="s">
        <v>59</v>
      </c>
      <c r="B40" s="406">
        <v>5378633</v>
      </c>
      <c r="C40" s="406">
        <v>753988</v>
      </c>
      <c r="D40" s="407">
        <f t="shared" si="0"/>
        <v>6132621</v>
      </c>
    </row>
    <row r="41" spans="1:4" x14ac:dyDescent="0.4">
      <c r="A41" s="405" t="s">
        <v>60</v>
      </c>
      <c r="B41" s="406">
        <v>2600758</v>
      </c>
      <c r="C41" s="406">
        <v>460215</v>
      </c>
      <c r="D41" s="407">
        <f t="shared" si="0"/>
        <v>3060973</v>
      </c>
    </row>
    <row r="42" spans="1:4" x14ac:dyDescent="0.4">
      <c r="A42" s="405" t="s">
        <v>45</v>
      </c>
      <c r="B42" s="406">
        <v>2099985</v>
      </c>
      <c r="C42" s="406">
        <v>380292</v>
      </c>
      <c r="D42" s="407">
        <f t="shared" si="0"/>
        <v>2480277</v>
      </c>
    </row>
    <row r="43" spans="1:4" x14ac:dyDescent="0.4">
      <c r="A43" s="405" t="s">
        <v>32</v>
      </c>
      <c r="B43" s="406">
        <v>606504</v>
      </c>
      <c r="C43" s="406">
        <v>96497</v>
      </c>
      <c r="D43" s="407">
        <f t="shared" si="0"/>
        <v>703001</v>
      </c>
    </row>
    <row r="44" spans="1:4" x14ac:dyDescent="0.4">
      <c r="A44" s="405" t="s">
        <v>46</v>
      </c>
      <c r="B44" s="406">
        <v>780308</v>
      </c>
      <c r="C44" s="406">
        <v>180595</v>
      </c>
      <c r="D44" s="407">
        <f t="shared" si="0"/>
        <v>960903</v>
      </c>
    </row>
    <row r="45" spans="1:4" x14ac:dyDescent="0.4">
      <c r="A45" s="405" t="s">
        <v>47</v>
      </c>
      <c r="B45" s="406">
        <v>863531</v>
      </c>
      <c r="C45" s="406">
        <v>115756</v>
      </c>
      <c r="D45" s="407">
        <f t="shared" si="0"/>
        <v>979287</v>
      </c>
    </row>
    <row r="46" spans="1:4" x14ac:dyDescent="0.4">
      <c r="A46" s="405" t="s">
        <v>61</v>
      </c>
      <c r="B46" s="406">
        <v>2790328</v>
      </c>
      <c r="C46" s="406">
        <v>433584</v>
      </c>
      <c r="D46" s="407">
        <f t="shared" si="0"/>
        <v>3223912</v>
      </c>
    </row>
    <row r="47" spans="1:4" x14ac:dyDescent="0.4">
      <c r="A47" s="405" t="s">
        <v>33</v>
      </c>
      <c r="B47" s="406">
        <v>519814</v>
      </c>
      <c r="C47" s="406">
        <v>78500</v>
      </c>
      <c r="D47" s="407">
        <f t="shared" si="0"/>
        <v>598314</v>
      </c>
    </row>
    <row r="48" spans="1:4" x14ac:dyDescent="0.4">
      <c r="A48" s="409" t="s">
        <v>34</v>
      </c>
      <c r="B48" s="406">
        <v>578824</v>
      </c>
      <c r="C48" s="406">
        <v>101252</v>
      </c>
      <c r="D48" s="407">
        <f t="shared" si="0"/>
        <v>680076</v>
      </c>
    </row>
    <row r="49" spans="1:4" x14ac:dyDescent="0.4">
      <c r="A49" s="405" t="s">
        <v>17</v>
      </c>
      <c r="B49" s="406">
        <v>9848</v>
      </c>
      <c r="C49" s="406">
        <v>0</v>
      </c>
      <c r="D49" s="407">
        <f t="shared" si="0"/>
        <v>9848</v>
      </c>
    </row>
    <row r="50" spans="1:4" x14ac:dyDescent="0.4">
      <c r="A50" s="405" t="s">
        <v>35</v>
      </c>
      <c r="B50" s="406">
        <v>245373</v>
      </c>
      <c r="C50" s="406">
        <v>0</v>
      </c>
      <c r="D50" s="407">
        <f t="shared" si="0"/>
        <v>245373</v>
      </c>
    </row>
    <row r="51" spans="1:4" x14ac:dyDescent="0.4">
      <c r="A51" s="405" t="s">
        <v>48</v>
      </c>
      <c r="B51" s="406">
        <v>762644</v>
      </c>
      <c r="C51" s="406">
        <v>120704</v>
      </c>
      <c r="D51" s="407">
        <f t="shared" si="0"/>
        <v>883348</v>
      </c>
    </row>
    <row r="52" spans="1:4" x14ac:dyDescent="0.4">
      <c r="A52" s="405" t="s">
        <v>49</v>
      </c>
      <c r="B52" s="406">
        <v>778154</v>
      </c>
      <c r="C52" s="406">
        <v>139947</v>
      </c>
      <c r="D52" s="407">
        <f t="shared" si="0"/>
        <v>918101</v>
      </c>
    </row>
    <row r="53" spans="1:4" x14ac:dyDescent="0.4">
      <c r="A53" s="405" t="s">
        <v>50</v>
      </c>
      <c r="B53" s="406">
        <v>944769</v>
      </c>
      <c r="C53" s="406">
        <v>147736</v>
      </c>
      <c r="D53" s="407">
        <f t="shared" si="0"/>
        <v>1092505</v>
      </c>
    </row>
    <row r="54" spans="1:4" x14ac:dyDescent="0.4">
      <c r="A54" s="405" t="s">
        <v>36</v>
      </c>
      <c r="B54" s="406">
        <v>182614</v>
      </c>
      <c r="C54" s="406">
        <v>37897</v>
      </c>
      <c r="D54" s="407">
        <f t="shared" si="0"/>
        <v>220511</v>
      </c>
    </row>
    <row r="55" spans="1:4" x14ac:dyDescent="0.4">
      <c r="A55" s="409" t="s">
        <v>37</v>
      </c>
      <c r="B55" s="406">
        <v>281764</v>
      </c>
      <c r="C55" s="406">
        <v>38030</v>
      </c>
      <c r="D55" s="407">
        <f t="shared" si="0"/>
        <v>319794</v>
      </c>
    </row>
    <row r="56" spans="1:4" x14ac:dyDescent="0.4">
      <c r="A56" s="405" t="s">
        <v>18</v>
      </c>
      <c r="B56" s="406">
        <v>96021</v>
      </c>
      <c r="C56" s="406">
        <v>0</v>
      </c>
      <c r="D56" s="407">
        <f t="shared" si="0"/>
        <v>96021</v>
      </c>
    </row>
    <row r="57" spans="1:4" x14ac:dyDescent="0.4">
      <c r="A57" s="409" t="s">
        <v>51</v>
      </c>
      <c r="B57" s="406">
        <v>1300677</v>
      </c>
      <c r="C57" s="406">
        <v>290555</v>
      </c>
      <c r="D57" s="407">
        <f t="shared" si="0"/>
        <v>1591232</v>
      </c>
    </row>
    <row r="58" spans="1:4" x14ac:dyDescent="0.4">
      <c r="A58" s="405" t="s">
        <v>38</v>
      </c>
      <c r="B58" s="406">
        <v>140483</v>
      </c>
      <c r="C58" s="406">
        <v>18663</v>
      </c>
      <c r="D58" s="407">
        <f t="shared" si="0"/>
        <v>159146</v>
      </c>
    </row>
    <row r="59" spans="1:4" x14ac:dyDescent="0.4">
      <c r="A59" s="405" t="s">
        <v>52</v>
      </c>
      <c r="B59" s="406">
        <v>1500220</v>
      </c>
      <c r="C59" s="406">
        <v>335533</v>
      </c>
      <c r="D59" s="407">
        <f t="shared" si="0"/>
        <v>1835753</v>
      </c>
    </row>
    <row r="60" spans="1:4" x14ac:dyDescent="0.4">
      <c r="A60" s="405" t="s">
        <v>39</v>
      </c>
      <c r="B60" s="406">
        <v>496241</v>
      </c>
      <c r="C60" s="406">
        <v>100262</v>
      </c>
      <c r="D60" s="407">
        <f t="shared" si="0"/>
        <v>596503</v>
      </c>
    </row>
    <row r="61" spans="1:4" x14ac:dyDescent="0.4">
      <c r="A61" s="405" t="s">
        <v>40</v>
      </c>
      <c r="B61" s="406">
        <v>390438</v>
      </c>
      <c r="C61" s="406">
        <v>84330</v>
      </c>
      <c r="D61" s="407">
        <f t="shared" si="0"/>
        <v>474768</v>
      </c>
    </row>
    <row r="62" spans="1:4" x14ac:dyDescent="0.4">
      <c r="A62" s="405" t="s">
        <v>666</v>
      </c>
      <c r="B62" s="406">
        <v>100000</v>
      </c>
      <c r="C62" s="406">
        <v>0</v>
      </c>
      <c r="D62" s="407">
        <f t="shared" si="0"/>
        <v>100000</v>
      </c>
    </row>
    <row r="63" spans="1:4" s="402" customFormat="1" ht="12.75" x14ac:dyDescent="0.35">
      <c r="A63" s="410" t="s">
        <v>0</v>
      </c>
      <c r="B63" s="411">
        <f t="shared" ref="B63:D63" si="1">SUM(B4:B62)</f>
        <v>114700000</v>
      </c>
      <c r="C63" s="411">
        <f t="shared" si="1"/>
        <v>22000000.214364465</v>
      </c>
      <c r="D63" s="411">
        <f t="shared" si="1"/>
        <v>136700000.21436447</v>
      </c>
    </row>
    <row r="64" spans="1:4" x14ac:dyDescent="0.4">
      <c r="A64" s="412"/>
      <c r="B64" s="412"/>
      <c r="C64" s="412"/>
      <c r="D64" s="413"/>
    </row>
    <row r="65" spans="2:3" x14ac:dyDescent="0.4">
      <c r="B65" s="408"/>
      <c r="C65" s="408"/>
    </row>
    <row r="66" spans="2:3" x14ac:dyDescent="0.4">
      <c r="B66" s="408"/>
      <c r="C66" s="408"/>
    </row>
    <row r="67" spans="2:3" x14ac:dyDescent="0.4">
      <c r="B67" s="408"/>
      <c r="C67" s="408"/>
    </row>
    <row r="68" spans="2:3" x14ac:dyDescent="0.4">
      <c r="B68" s="408"/>
      <c r="C68" s="408"/>
    </row>
    <row r="69" spans="2:3" x14ac:dyDescent="0.4">
      <c r="B69" s="408"/>
      <c r="C69" s="408"/>
    </row>
    <row r="70" spans="2:3" x14ac:dyDescent="0.4">
      <c r="B70" s="408"/>
      <c r="C70" s="408"/>
    </row>
    <row r="71" spans="2:3" x14ac:dyDescent="0.4">
      <c r="B71" s="408"/>
      <c r="C71" s="408"/>
    </row>
    <row r="72" spans="2:3" x14ac:dyDescent="0.4">
      <c r="B72" s="408"/>
      <c r="C72" s="408"/>
    </row>
    <row r="73" spans="2:3" x14ac:dyDescent="0.4">
      <c r="B73" s="408"/>
      <c r="C73" s="408"/>
    </row>
    <row r="74" spans="2:3" x14ac:dyDescent="0.4">
      <c r="B74" s="408"/>
      <c r="C74" s="408"/>
    </row>
    <row r="75" spans="2:3" x14ac:dyDescent="0.4">
      <c r="B75" s="408"/>
      <c r="C75" s="408"/>
    </row>
    <row r="76" spans="2:3" x14ac:dyDescent="0.4">
      <c r="B76" s="408"/>
      <c r="C76" s="408"/>
    </row>
    <row r="77" spans="2:3" x14ac:dyDescent="0.4">
      <c r="B77" s="408"/>
      <c r="C77" s="408"/>
    </row>
    <row r="78" spans="2:3" x14ac:dyDescent="0.4">
      <c r="B78" s="408"/>
      <c r="C78" s="408"/>
    </row>
    <row r="79" spans="2:3" x14ac:dyDescent="0.4">
      <c r="B79" s="408"/>
      <c r="C79" s="408"/>
    </row>
    <row r="80" spans="2:3" x14ac:dyDescent="0.4">
      <c r="B80" s="408"/>
      <c r="C80" s="408"/>
    </row>
    <row r="81" spans="2:3" x14ac:dyDescent="0.4">
      <c r="B81" s="408"/>
      <c r="C81" s="408"/>
    </row>
    <row r="82" spans="2:3" x14ac:dyDescent="0.4">
      <c r="B82" s="408"/>
      <c r="C82" s="408"/>
    </row>
    <row r="83" spans="2:3" x14ac:dyDescent="0.4">
      <c r="B83" s="408"/>
      <c r="C83" s="408"/>
    </row>
    <row r="84" spans="2:3" x14ac:dyDescent="0.4">
      <c r="B84" s="408"/>
      <c r="C84" s="408"/>
    </row>
    <row r="85" spans="2:3" x14ac:dyDescent="0.4">
      <c r="B85" s="408"/>
      <c r="C85" s="408"/>
    </row>
    <row r="86" spans="2:3" x14ac:dyDescent="0.4">
      <c r="B86" s="408"/>
      <c r="C86" s="408"/>
    </row>
    <row r="87" spans="2:3" x14ac:dyDescent="0.4">
      <c r="B87" s="408"/>
      <c r="C87" s="408"/>
    </row>
    <row r="88" spans="2:3" x14ac:dyDescent="0.4">
      <c r="B88" s="408"/>
      <c r="C88" s="408"/>
    </row>
    <row r="89" spans="2:3" x14ac:dyDescent="0.4">
      <c r="B89" s="408"/>
      <c r="C89" s="408"/>
    </row>
    <row r="90" spans="2:3" x14ac:dyDescent="0.4">
      <c r="B90" s="408"/>
      <c r="C90" s="408"/>
    </row>
    <row r="91" spans="2:3" x14ac:dyDescent="0.4">
      <c r="B91" s="408"/>
      <c r="C91" s="408"/>
    </row>
    <row r="92" spans="2:3" x14ac:dyDescent="0.4">
      <c r="B92" s="408"/>
      <c r="C92" s="408"/>
    </row>
    <row r="93" spans="2:3" x14ac:dyDescent="0.4">
      <c r="B93" s="408"/>
      <c r="C93" s="408"/>
    </row>
    <row r="94" spans="2:3" x14ac:dyDescent="0.4">
      <c r="B94" s="408"/>
      <c r="C94" s="408"/>
    </row>
    <row r="95" spans="2:3" x14ac:dyDescent="0.4">
      <c r="B95" s="408"/>
      <c r="C95" s="408"/>
    </row>
    <row r="96" spans="2:3" x14ac:dyDescent="0.4">
      <c r="B96" s="408"/>
      <c r="C96" s="408"/>
    </row>
    <row r="97" spans="2:3" x14ac:dyDescent="0.4">
      <c r="B97" s="408"/>
      <c r="C97" s="408"/>
    </row>
    <row r="98" spans="2:3" x14ac:dyDescent="0.4">
      <c r="B98" s="408"/>
      <c r="C98" s="408"/>
    </row>
    <row r="99" spans="2:3" x14ac:dyDescent="0.4">
      <c r="B99" s="408"/>
      <c r="C99" s="408"/>
    </row>
    <row r="100" spans="2:3" x14ac:dyDescent="0.4">
      <c r="B100" s="408"/>
      <c r="C100" s="408"/>
    </row>
    <row r="101" spans="2:3" x14ac:dyDescent="0.4">
      <c r="B101" s="408"/>
      <c r="C101" s="408"/>
    </row>
    <row r="102" spans="2:3" x14ac:dyDescent="0.4">
      <c r="B102" s="408"/>
      <c r="C102" s="408"/>
    </row>
    <row r="103" spans="2:3" x14ac:dyDescent="0.4">
      <c r="B103" s="408"/>
      <c r="C103" s="408"/>
    </row>
    <row r="104" spans="2:3" x14ac:dyDescent="0.4">
      <c r="B104" s="408"/>
      <c r="C104" s="408"/>
    </row>
    <row r="105" spans="2:3" x14ac:dyDescent="0.4">
      <c r="B105" s="408"/>
      <c r="C105" s="408"/>
    </row>
    <row r="106" spans="2:3" x14ac:dyDescent="0.4">
      <c r="B106" s="408"/>
      <c r="C106" s="408"/>
    </row>
    <row r="107" spans="2:3" x14ac:dyDescent="0.4">
      <c r="B107" s="408"/>
      <c r="C107" s="408"/>
    </row>
    <row r="108" spans="2:3" x14ac:dyDescent="0.4">
      <c r="B108" s="408"/>
      <c r="C108" s="408"/>
    </row>
    <row r="109" spans="2:3" x14ac:dyDescent="0.4">
      <c r="B109" s="408"/>
      <c r="C109" s="408"/>
    </row>
    <row r="110" spans="2:3" x14ac:dyDescent="0.4">
      <c r="B110" s="408"/>
      <c r="C110" s="408"/>
    </row>
    <row r="111" spans="2:3" x14ac:dyDescent="0.4">
      <c r="B111" s="408"/>
      <c r="C111" s="408"/>
    </row>
    <row r="112" spans="2:3" x14ac:dyDescent="0.4">
      <c r="B112" s="408"/>
      <c r="C112" s="408"/>
    </row>
    <row r="113" spans="2:3" x14ac:dyDescent="0.4">
      <c r="B113" s="408"/>
      <c r="C113" s="408"/>
    </row>
    <row r="114" spans="2:3" x14ac:dyDescent="0.4">
      <c r="B114" s="408"/>
      <c r="C114" s="408"/>
    </row>
    <row r="115" spans="2:3" x14ac:dyDescent="0.4">
      <c r="B115" s="408"/>
      <c r="C115" s="408"/>
    </row>
    <row r="116" spans="2:3" x14ac:dyDescent="0.4">
      <c r="B116" s="408"/>
      <c r="C116" s="408"/>
    </row>
    <row r="117" spans="2:3" x14ac:dyDescent="0.4">
      <c r="B117" s="408"/>
      <c r="C117" s="408"/>
    </row>
    <row r="118" spans="2:3" x14ac:dyDescent="0.4">
      <c r="B118" s="408"/>
      <c r="C118" s="408"/>
    </row>
    <row r="119" spans="2:3" x14ac:dyDescent="0.4">
      <c r="B119" s="408"/>
      <c r="C119" s="408"/>
    </row>
    <row r="120" spans="2:3" x14ac:dyDescent="0.4">
      <c r="B120" s="408"/>
      <c r="C120" s="408"/>
    </row>
    <row r="121" spans="2:3" x14ac:dyDescent="0.4">
      <c r="B121" s="408"/>
      <c r="C121" s="408"/>
    </row>
    <row r="122" spans="2:3" x14ac:dyDescent="0.4">
      <c r="B122" s="408"/>
      <c r="C122" s="408"/>
    </row>
    <row r="123" spans="2:3" x14ac:dyDescent="0.4">
      <c r="B123" s="408"/>
      <c r="C123" s="408"/>
    </row>
    <row r="124" spans="2:3" x14ac:dyDescent="0.4">
      <c r="B124" s="408"/>
      <c r="C124" s="408"/>
    </row>
    <row r="125" spans="2:3" x14ac:dyDescent="0.4">
      <c r="B125" s="408"/>
      <c r="C125" s="408"/>
    </row>
    <row r="126" spans="2:3" x14ac:dyDescent="0.4">
      <c r="B126" s="408"/>
      <c r="C126" s="408"/>
    </row>
    <row r="127" spans="2:3" x14ac:dyDescent="0.4">
      <c r="B127" s="408"/>
      <c r="C127" s="408"/>
    </row>
    <row r="128" spans="2:3" x14ac:dyDescent="0.4">
      <c r="B128" s="408"/>
      <c r="C128" s="408"/>
    </row>
    <row r="129" spans="2:3" x14ac:dyDescent="0.4">
      <c r="B129" s="408"/>
      <c r="C129" s="408"/>
    </row>
    <row r="130" spans="2:3" x14ac:dyDescent="0.4">
      <c r="B130" s="408"/>
      <c r="C130" s="408"/>
    </row>
    <row r="131" spans="2:3" x14ac:dyDescent="0.4">
      <c r="B131" s="408"/>
      <c r="C131" s="408"/>
    </row>
    <row r="132" spans="2:3" x14ac:dyDescent="0.4">
      <c r="B132" s="408"/>
      <c r="C132" s="408"/>
    </row>
    <row r="133" spans="2:3" x14ac:dyDescent="0.4">
      <c r="B133" s="408"/>
      <c r="C133" s="408"/>
    </row>
    <row r="134" spans="2:3" x14ac:dyDescent="0.4">
      <c r="B134" s="408"/>
      <c r="C134" s="408"/>
    </row>
    <row r="135" spans="2:3" x14ac:dyDescent="0.4">
      <c r="B135" s="408"/>
      <c r="C135" s="408"/>
    </row>
    <row r="136" spans="2:3" x14ac:dyDescent="0.4">
      <c r="B136" s="408"/>
      <c r="C136" s="408"/>
    </row>
    <row r="137" spans="2:3" x14ac:dyDescent="0.4">
      <c r="B137" s="408"/>
      <c r="C137" s="408"/>
    </row>
    <row r="138" spans="2:3" x14ac:dyDescent="0.4">
      <c r="B138" s="408"/>
      <c r="C138" s="408"/>
    </row>
    <row r="139" spans="2:3" x14ac:dyDescent="0.4">
      <c r="B139" s="408"/>
      <c r="C139" s="408"/>
    </row>
    <row r="140" spans="2:3" x14ac:dyDescent="0.4">
      <c r="B140" s="408"/>
      <c r="C140" s="408"/>
    </row>
    <row r="141" spans="2:3" x14ac:dyDescent="0.4">
      <c r="B141" s="408"/>
      <c r="C141" s="408"/>
    </row>
    <row r="142" spans="2:3" x14ac:dyDescent="0.4">
      <c r="B142" s="408"/>
      <c r="C142" s="408"/>
    </row>
    <row r="143" spans="2:3" x14ac:dyDescent="0.4">
      <c r="B143" s="408"/>
      <c r="C143" s="408"/>
    </row>
    <row r="144" spans="2:3" x14ac:dyDescent="0.4">
      <c r="B144" s="408"/>
      <c r="C144" s="408"/>
    </row>
    <row r="145" spans="2:3" x14ac:dyDescent="0.4">
      <c r="B145" s="408"/>
      <c r="C145" s="408"/>
    </row>
    <row r="146" spans="2:3" x14ac:dyDescent="0.4">
      <c r="B146" s="408"/>
      <c r="C146" s="408"/>
    </row>
    <row r="147" spans="2:3" x14ac:dyDescent="0.4">
      <c r="B147" s="408"/>
      <c r="C147" s="408"/>
    </row>
    <row r="148" spans="2:3" x14ac:dyDescent="0.4">
      <c r="B148" s="408"/>
      <c r="C148" s="408"/>
    </row>
    <row r="149" spans="2:3" x14ac:dyDescent="0.4">
      <c r="B149" s="408"/>
      <c r="C149" s="408"/>
    </row>
    <row r="150" spans="2:3" x14ac:dyDescent="0.4">
      <c r="B150" s="408"/>
      <c r="C150" s="408"/>
    </row>
    <row r="151" spans="2:3" x14ac:dyDescent="0.4">
      <c r="B151" s="408"/>
      <c r="C151" s="408"/>
    </row>
    <row r="152" spans="2:3" x14ac:dyDescent="0.4">
      <c r="B152" s="408"/>
      <c r="C152" s="408"/>
    </row>
    <row r="153" spans="2:3" x14ac:dyDescent="0.4">
      <c r="B153" s="408"/>
      <c r="C153" s="408"/>
    </row>
    <row r="154" spans="2:3" x14ac:dyDescent="0.4">
      <c r="B154" s="408"/>
      <c r="C154" s="408"/>
    </row>
    <row r="155" spans="2:3" x14ac:dyDescent="0.4">
      <c r="B155" s="408"/>
      <c r="C155" s="408"/>
    </row>
    <row r="156" spans="2:3" x14ac:dyDescent="0.4">
      <c r="B156" s="408"/>
      <c r="C156" s="408"/>
    </row>
    <row r="157" spans="2:3" x14ac:dyDescent="0.4">
      <c r="B157" s="408"/>
      <c r="C157" s="408"/>
    </row>
    <row r="158" spans="2:3" x14ac:dyDescent="0.4">
      <c r="B158" s="408"/>
      <c r="C158" s="408"/>
    </row>
    <row r="159" spans="2:3" x14ac:dyDescent="0.4">
      <c r="B159" s="408"/>
      <c r="C159" s="408"/>
    </row>
    <row r="160" spans="2:3" x14ac:dyDescent="0.4">
      <c r="B160" s="408"/>
      <c r="C160" s="408"/>
    </row>
    <row r="161" spans="2:3" x14ac:dyDescent="0.4">
      <c r="B161" s="408"/>
      <c r="C161" s="408"/>
    </row>
    <row r="162" spans="2:3" x14ac:dyDescent="0.4">
      <c r="B162" s="408"/>
      <c r="C162" s="408"/>
    </row>
    <row r="163" spans="2:3" x14ac:dyDescent="0.4">
      <c r="B163" s="408"/>
      <c r="C163" s="408"/>
    </row>
    <row r="164" spans="2:3" x14ac:dyDescent="0.4">
      <c r="B164" s="408"/>
      <c r="C164" s="408"/>
    </row>
    <row r="165" spans="2:3" x14ac:dyDescent="0.4">
      <c r="B165" s="408"/>
      <c r="C165" s="408"/>
    </row>
    <row r="166" spans="2:3" x14ac:dyDescent="0.4">
      <c r="B166" s="408"/>
      <c r="C166" s="408"/>
    </row>
    <row r="167" spans="2:3" x14ac:dyDescent="0.4">
      <c r="B167" s="408"/>
      <c r="C167" s="408"/>
    </row>
    <row r="168" spans="2:3" x14ac:dyDescent="0.4">
      <c r="B168" s="408"/>
      <c r="C168" s="408"/>
    </row>
    <row r="169" spans="2:3" x14ac:dyDescent="0.4">
      <c r="B169" s="408"/>
      <c r="C169" s="408"/>
    </row>
    <row r="170" spans="2:3" x14ac:dyDescent="0.4">
      <c r="B170" s="408"/>
      <c r="C170" s="408"/>
    </row>
    <row r="171" spans="2:3" x14ac:dyDescent="0.4">
      <c r="B171" s="408"/>
      <c r="C171" s="408"/>
    </row>
    <row r="172" spans="2:3" x14ac:dyDescent="0.4">
      <c r="B172" s="408"/>
      <c r="C172" s="408"/>
    </row>
    <row r="173" spans="2:3" x14ac:dyDescent="0.4">
      <c r="B173" s="408"/>
      <c r="C173" s="408"/>
    </row>
    <row r="174" spans="2:3" x14ac:dyDescent="0.4">
      <c r="B174" s="408"/>
      <c r="C174" s="408"/>
    </row>
    <row r="175" spans="2:3" x14ac:dyDescent="0.4">
      <c r="B175" s="408"/>
      <c r="C175" s="408"/>
    </row>
    <row r="176" spans="2:3" x14ac:dyDescent="0.4">
      <c r="B176" s="408"/>
      <c r="C176" s="408"/>
    </row>
    <row r="177" spans="2:3" x14ac:dyDescent="0.4">
      <c r="B177" s="408"/>
      <c r="C177" s="408"/>
    </row>
    <row r="178" spans="2:3" x14ac:dyDescent="0.4">
      <c r="B178" s="408"/>
      <c r="C178" s="408"/>
    </row>
    <row r="179" spans="2:3" x14ac:dyDescent="0.4">
      <c r="B179" s="408"/>
      <c r="C179" s="408"/>
    </row>
    <row r="180" spans="2:3" x14ac:dyDescent="0.4">
      <c r="B180" s="408"/>
      <c r="C180" s="408"/>
    </row>
    <row r="181" spans="2:3" x14ac:dyDescent="0.4">
      <c r="B181" s="408"/>
      <c r="C181" s="408"/>
    </row>
    <row r="182" spans="2:3" x14ac:dyDescent="0.4">
      <c r="B182" s="408"/>
      <c r="C182" s="408"/>
    </row>
    <row r="183" spans="2:3" x14ac:dyDescent="0.4">
      <c r="B183" s="408"/>
      <c r="C183" s="408"/>
    </row>
    <row r="184" spans="2:3" x14ac:dyDescent="0.4">
      <c r="B184" s="408"/>
      <c r="C184" s="408"/>
    </row>
    <row r="185" spans="2:3" x14ac:dyDescent="0.4">
      <c r="B185" s="408"/>
      <c r="C185" s="408"/>
    </row>
    <row r="186" spans="2:3" x14ac:dyDescent="0.4">
      <c r="B186" s="408"/>
      <c r="C186" s="408"/>
    </row>
    <row r="187" spans="2:3" x14ac:dyDescent="0.4">
      <c r="B187" s="408"/>
      <c r="C187" s="408"/>
    </row>
    <row r="188" spans="2:3" x14ac:dyDescent="0.4">
      <c r="B188" s="408"/>
      <c r="C188" s="408"/>
    </row>
    <row r="189" spans="2:3" x14ac:dyDescent="0.4">
      <c r="B189" s="408"/>
      <c r="C189" s="408"/>
    </row>
    <row r="190" spans="2:3" x14ac:dyDescent="0.4">
      <c r="B190" s="408"/>
      <c r="C190" s="408"/>
    </row>
    <row r="191" spans="2:3" x14ac:dyDescent="0.4">
      <c r="B191" s="408"/>
      <c r="C191" s="408"/>
    </row>
    <row r="192" spans="2:3" x14ac:dyDescent="0.4">
      <c r="B192" s="408"/>
      <c r="C192" s="408"/>
    </row>
    <row r="193" spans="2:3" x14ac:dyDescent="0.4">
      <c r="B193" s="408"/>
      <c r="C193" s="408"/>
    </row>
    <row r="194" spans="2:3" x14ac:dyDescent="0.4">
      <c r="B194" s="408"/>
      <c r="C194" s="408"/>
    </row>
    <row r="195" spans="2:3" x14ac:dyDescent="0.4">
      <c r="B195" s="408"/>
      <c r="C195" s="408"/>
    </row>
    <row r="196" spans="2:3" x14ac:dyDescent="0.4">
      <c r="B196" s="408"/>
      <c r="C196" s="408"/>
    </row>
    <row r="197" spans="2:3" x14ac:dyDescent="0.4">
      <c r="B197" s="408"/>
      <c r="C197" s="408"/>
    </row>
    <row r="198" spans="2:3" x14ac:dyDescent="0.4">
      <c r="B198" s="408"/>
      <c r="C198" s="408"/>
    </row>
    <row r="199" spans="2:3" x14ac:dyDescent="0.4">
      <c r="B199" s="408"/>
      <c r="C199" s="408"/>
    </row>
    <row r="200" spans="2:3" x14ac:dyDescent="0.4">
      <c r="B200" s="408"/>
      <c r="C200" s="408"/>
    </row>
    <row r="201" spans="2:3" x14ac:dyDescent="0.4">
      <c r="B201" s="408"/>
      <c r="C201" s="408"/>
    </row>
    <row r="202" spans="2:3" x14ac:dyDescent="0.4">
      <c r="B202" s="408"/>
      <c r="C202" s="408"/>
    </row>
    <row r="203" spans="2:3" x14ac:dyDescent="0.4">
      <c r="B203" s="408"/>
      <c r="C203" s="408"/>
    </row>
    <row r="204" spans="2:3" x14ac:dyDescent="0.4">
      <c r="B204" s="408"/>
      <c r="C204" s="408"/>
    </row>
    <row r="205" spans="2:3" x14ac:dyDescent="0.4">
      <c r="B205" s="408"/>
      <c r="C205" s="408"/>
    </row>
    <row r="206" spans="2:3" x14ac:dyDescent="0.4">
      <c r="B206" s="408"/>
      <c r="C206" s="408"/>
    </row>
    <row r="207" spans="2:3" x14ac:dyDescent="0.4">
      <c r="B207" s="408"/>
      <c r="C207" s="408"/>
    </row>
    <row r="208" spans="2:3" x14ac:dyDescent="0.4">
      <c r="B208" s="408"/>
      <c r="C208" s="408"/>
    </row>
    <row r="209" spans="2:3" x14ac:dyDescent="0.4">
      <c r="B209" s="408"/>
      <c r="C209" s="408"/>
    </row>
    <row r="210" spans="2:3" x14ac:dyDescent="0.4">
      <c r="B210" s="408"/>
      <c r="C210" s="408"/>
    </row>
    <row r="211" spans="2:3" x14ac:dyDescent="0.4">
      <c r="B211" s="408"/>
      <c r="C211" s="408"/>
    </row>
    <row r="212" spans="2:3" x14ac:dyDescent="0.4">
      <c r="B212" s="408"/>
      <c r="C212" s="408"/>
    </row>
    <row r="213" spans="2:3" x14ac:dyDescent="0.4">
      <c r="B213" s="408"/>
      <c r="C213" s="408"/>
    </row>
    <row r="214" spans="2:3" x14ac:dyDescent="0.4">
      <c r="B214" s="408"/>
      <c r="C214" s="408"/>
    </row>
    <row r="215" spans="2:3" x14ac:dyDescent="0.4">
      <c r="B215" s="408"/>
      <c r="C215" s="408"/>
    </row>
    <row r="216" spans="2:3" x14ac:dyDescent="0.4">
      <c r="B216" s="408"/>
      <c r="C216" s="408"/>
    </row>
    <row r="217" spans="2:3" x14ac:dyDescent="0.4">
      <c r="B217" s="408"/>
      <c r="C217" s="408"/>
    </row>
    <row r="218" spans="2:3" x14ac:dyDescent="0.4">
      <c r="B218" s="408"/>
      <c r="C218" s="408"/>
    </row>
    <row r="219" spans="2:3" x14ac:dyDescent="0.4">
      <c r="B219" s="408"/>
      <c r="C219" s="408"/>
    </row>
    <row r="220" spans="2:3" x14ac:dyDescent="0.4">
      <c r="B220" s="408"/>
      <c r="C220" s="408"/>
    </row>
    <row r="221" spans="2:3" x14ac:dyDescent="0.4">
      <c r="B221" s="408"/>
      <c r="C221" s="408"/>
    </row>
    <row r="222" spans="2:3" x14ac:dyDescent="0.4">
      <c r="B222" s="408"/>
      <c r="C222" s="408"/>
    </row>
    <row r="223" spans="2:3" x14ac:dyDescent="0.4">
      <c r="B223" s="408"/>
      <c r="C223" s="408"/>
    </row>
    <row r="224" spans="2:3" x14ac:dyDescent="0.4">
      <c r="B224" s="408"/>
      <c r="C224" s="408"/>
    </row>
    <row r="225" spans="2:3" x14ac:dyDescent="0.4">
      <c r="B225" s="408"/>
      <c r="C225" s="408"/>
    </row>
    <row r="226" spans="2:3" x14ac:dyDescent="0.4">
      <c r="B226" s="408"/>
      <c r="C226" s="408"/>
    </row>
    <row r="227" spans="2:3" x14ac:dyDescent="0.4">
      <c r="B227" s="408"/>
      <c r="C227" s="408"/>
    </row>
    <row r="228" spans="2:3" x14ac:dyDescent="0.4">
      <c r="B228" s="408"/>
      <c r="C228" s="408"/>
    </row>
    <row r="229" spans="2:3" x14ac:dyDescent="0.4">
      <c r="B229" s="408"/>
      <c r="C229" s="408"/>
    </row>
    <row r="230" spans="2:3" x14ac:dyDescent="0.4">
      <c r="B230" s="408"/>
      <c r="C230" s="408"/>
    </row>
    <row r="231" spans="2:3" x14ac:dyDescent="0.4">
      <c r="B231" s="408"/>
      <c r="C231" s="408"/>
    </row>
    <row r="232" spans="2:3" x14ac:dyDescent="0.4">
      <c r="B232" s="408"/>
      <c r="C232" s="408"/>
    </row>
    <row r="233" spans="2:3" x14ac:dyDescent="0.4">
      <c r="B233" s="408"/>
      <c r="C233" s="408"/>
    </row>
    <row r="234" spans="2:3" x14ac:dyDescent="0.4">
      <c r="B234" s="408"/>
      <c r="C234" s="408"/>
    </row>
    <row r="235" spans="2:3" x14ac:dyDescent="0.4">
      <c r="B235" s="408"/>
      <c r="C235" s="408"/>
    </row>
    <row r="236" spans="2:3" x14ac:dyDescent="0.4">
      <c r="B236" s="408"/>
      <c r="C236" s="408"/>
    </row>
    <row r="237" spans="2:3" x14ac:dyDescent="0.4">
      <c r="B237" s="408"/>
      <c r="C237" s="408"/>
    </row>
    <row r="238" spans="2:3" x14ac:dyDescent="0.4">
      <c r="B238" s="408"/>
      <c r="C238" s="408"/>
    </row>
    <row r="239" spans="2:3" x14ac:dyDescent="0.4">
      <c r="B239" s="408"/>
      <c r="C239" s="408"/>
    </row>
    <row r="240" spans="2:3" x14ac:dyDescent="0.4">
      <c r="B240" s="408"/>
      <c r="C240" s="408"/>
    </row>
    <row r="241" spans="2:3" x14ac:dyDescent="0.4">
      <c r="B241" s="408"/>
      <c r="C241" s="408"/>
    </row>
    <row r="242" spans="2:3" x14ac:dyDescent="0.4">
      <c r="B242" s="408"/>
      <c r="C242" s="408"/>
    </row>
    <row r="243" spans="2:3" x14ac:dyDescent="0.4">
      <c r="B243" s="408"/>
      <c r="C243" s="408"/>
    </row>
    <row r="244" spans="2:3" x14ac:dyDescent="0.4">
      <c r="B244" s="408"/>
      <c r="C244" s="408"/>
    </row>
    <row r="245" spans="2:3" x14ac:dyDescent="0.4">
      <c r="B245" s="408"/>
      <c r="C245" s="408"/>
    </row>
    <row r="246" spans="2:3" x14ac:dyDescent="0.4">
      <c r="B246" s="408"/>
      <c r="C246" s="408"/>
    </row>
    <row r="247" spans="2:3" x14ac:dyDescent="0.4">
      <c r="B247" s="408"/>
      <c r="C247" s="408"/>
    </row>
    <row r="248" spans="2:3" x14ac:dyDescent="0.4">
      <c r="B248" s="408"/>
      <c r="C248" s="408"/>
    </row>
    <row r="249" spans="2:3" x14ac:dyDescent="0.4">
      <c r="B249" s="408"/>
      <c r="C249" s="408"/>
    </row>
    <row r="250" spans="2:3" x14ac:dyDescent="0.4">
      <c r="B250" s="408"/>
      <c r="C250" s="408"/>
    </row>
    <row r="251" spans="2:3" x14ac:dyDescent="0.4">
      <c r="B251" s="408"/>
      <c r="C251" s="408"/>
    </row>
    <row r="252" spans="2:3" x14ac:dyDescent="0.4">
      <c r="B252" s="408"/>
      <c r="C252" s="408"/>
    </row>
    <row r="253" spans="2:3" x14ac:dyDescent="0.4">
      <c r="B253" s="408"/>
      <c r="C253" s="408"/>
    </row>
    <row r="254" spans="2:3" x14ac:dyDescent="0.4">
      <c r="B254" s="408"/>
      <c r="C254" s="408"/>
    </row>
    <row r="255" spans="2:3" x14ac:dyDescent="0.4">
      <c r="B255" s="408"/>
      <c r="C255" s="408"/>
    </row>
    <row r="256" spans="2:3" x14ac:dyDescent="0.4">
      <c r="B256" s="408"/>
      <c r="C256" s="408"/>
    </row>
    <row r="257" spans="2:3" x14ac:dyDescent="0.4">
      <c r="B257" s="408"/>
      <c r="C257" s="408"/>
    </row>
    <row r="258" spans="2:3" x14ac:dyDescent="0.4">
      <c r="B258" s="408"/>
      <c r="C258" s="408"/>
    </row>
    <row r="259" spans="2:3" x14ac:dyDescent="0.4">
      <c r="B259" s="408"/>
      <c r="C259" s="408"/>
    </row>
    <row r="260" spans="2:3" x14ac:dyDescent="0.4">
      <c r="B260" s="408"/>
      <c r="C260" s="408"/>
    </row>
    <row r="261" spans="2:3" x14ac:dyDescent="0.4">
      <c r="B261" s="408"/>
      <c r="C261" s="408"/>
    </row>
    <row r="262" spans="2:3" x14ac:dyDescent="0.4">
      <c r="B262" s="408"/>
      <c r="C262" s="408"/>
    </row>
    <row r="263" spans="2:3" x14ac:dyDescent="0.4">
      <c r="B263" s="408"/>
      <c r="C263" s="408"/>
    </row>
    <row r="264" spans="2:3" x14ac:dyDescent="0.4">
      <c r="B264" s="408"/>
      <c r="C264" s="408"/>
    </row>
    <row r="265" spans="2:3" x14ac:dyDescent="0.4">
      <c r="B265" s="408"/>
      <c r="C265" s="408"/>
    </row>
    <row r="266" spans="2:3" x14ac:dyDescent="0.4">
      <c r="B266" s="408"/>
      <c r="C266" s="408"/>
    </row>
    <row r="267" spans="2:3" x14ac:dyDescent="0.4">
      <c r="B267" s="408"/>
      <c r="C267" s="408"/>
    </row>
    <row r="268" spans="2:3" x14ac:dyDescent="0.4">
      <c r="B268" s="408"/>
      <c r="C268" s="408"/>
    </row>
    <row r="269" spans="2:3" x14ac:dyDescent="0.4">
      <c r="B269" s="408"/>
      <c r="C269" s="408"/>
    </row>
    <row r="270" spans="2:3" x14ac:dyDescent="0.4">
      <c r="B270" s="408"/>
      <c r="C270" s="408"/>
    </row>
    <row r="271" spans="2:3" x14ac:dyDescent="0.4">
      <c r="B271" s="408"/>
      <c r="C271" s="408"/>
    </row>
    <row r="272" spans="2:3" x14ac:dyDescent="0.4">
      <c r="B272" s="408"/>
      <c r="C272" s="408"/>
    </row>
    <row r="273" spans="2:3" x14ac:dyDescent="0.4">
      <c r="B273" s="408"/>
      <c r="C273" s="408"/>
    </row>
    <row r="274" spans="2:3" x14ac:dyDescent="0.4">
      <c r="B274" s="408"/>
      <c r="C274" s="408"/>
    </row>
    <row r="275" spans="2:3" x14ac:dyDescent="0.4">
      <c r="B275" s="408"/>
      <c r="C275" s="408"/>
    </row>
    <row r="276" spans="2:3" x14ac:dyDescent="0.4">
      <c r="B276" s="408"/>
      <c r="C276" s="408"/>
    </row>
    <row r="277" spans="2:3" x14ac:dyDescent="0.4">
      <c r="B277" s="408"/>
      <c r="C277" s="408"/>
    </row>
    <row r="278" spans="2:3" x14ac:dyDescent="0.4">
      <c r="B278" s="408"/>
      <c r="C278" s="408"/>
    </row>
    <row r="279" spans="2:3" x14ac:dyDescent="0.4">
      <c r="B279" s="408"/>
      <c r="C279" s="408"/>
    </row>
    <row r="280" spans="2:3" x14ac:dyDescent="0.4">
      <c r="B280" s="408"/>
      <c r="C280" s="408"/>
    </row>
    <row r="281" spans="2:3" x14ac:dyDescent="0.4">
      <c r="B281" s="408"/>
      <c r="C281" s="408"/>
    </row>
    <row r="282" spans="2:3" x14ac:dyDescent="0.4">
      <c r="B282" s="408"/>
      <c r="C282" s="408"/>
    </row>
    <row r="283" spans="2:3" x14ac:dyDescent="0.4">
      <c r="B283" s="408"/>
      <c r="C283" s="408"/>
    </row>
    <row r="284" spans="2:3" x14ac:dyDescent="0.4">
      <c r="B284" s="408"/>
      <c r="C284" s="408"/>
    </row>
    <row r="285" spans="2:3" x14ac:dyDescent="0.4">
      <c r="B285" s="408"/>
      <c r="C285" s="408"/>
    </row>
    <row r="286" spans="2:3" x14ac:dyDescent="0.4">
      <c r="B286" s="408"/>
      <c r="C286" s="408"/>
    </row>
    <row r="287" spans="2:3" x14ac:dyDescent="0.4">
      <c r="B287" s="408"/>
      <c r="C287" s="408"/>
    </row>
    <row r="288" spans="2:3" x14ac:dyDescent="0.4">
      <c r="B288" s="408"/>
      <c r="C288" s="408"/>
    </row>
    <row r="289" spans="2:3" x14ac:dyDescent="0.4">
      <c r="B289" s="408"/>
      <c r="C289" s="408"/>
    </row>
    <row r="290" spans="2:3" x14ac:dyDescent="0.4">
      <c r="B290" s="408"/>
      <c r="C290" s="408"/>
    </row>
    <row r="291" spans="2:3" x14ac:dyDescent="0.4">
      <c r="B291" s="408"/>
      <c r="C291" s="408"/>
    </row>
    <row r="292" spans="2:3" x14ac:dyDescent="0.4">
      <c r="B292" s="408"/>
      <c r="C292" s="408"/>
    </row>
    <row r="293" spans="2:3" x14ac:dyDescent="0.4">
      <c r="B293" s="408"/>
      <c r="C293" s="408"/>
    </row>
    <row r="294" spans="2:3" x14ac:dyDescent="0.4">
      <c r="B294" s="408"/>
      <c r="C294" s="408"/>
    </row>
    <row r="295" spans="2:3" x14ac:dyDescent="0.4">
      <c r="B295" s="408"/>
      <c r="C295" s="408"/>
    </row>
    <row r="296" spans="2:3" x14ac:dyDescent="0.4">
      <c r="B296" s="408"/>
      <c r="C296" s="408"/>
    </row>
    <row r="297" spans="2:3" x14ac:dyDescent="0.4">
      <c r="B297" s="408"/>
      <c r="C297" s="408"/>
    </row>
    <row r="298" spans="2:3" x14ac:dyDescent="0.4">
      <c r="B298" s="408"/>
      <c r="C298" s="408"/>
    </row>
    <row r="299" spans="2:3" x14ac:dyDescent="0.4">
      <c r="B299" s="408"/>
      <c r="C299" s="408"/>
    </row>
    <row r="300" spans="2:3" x14ac:dyDescent="0.4">
      <c r="B300" s="408"/>
      <c r="C300" s="408"/>
    </row>
    <row r="301" spans="2:3" x14ac:dyDescent="0.4">
      <c r="B301" s="408"/>
      <c r="C301" s="408"/>
    </row>
    <row r="302" spans="2:3" x14ac:dyDescent="0.4">
      <c r="B302" s="408"/>
      <c r="C302" s="408"/>
    </row>
    <row r="303" spans="2:3" x14ac:dyDescent="0.4">
      <c r="B303" s="408"/>
      <c r="C303" s="408"/>
    </row>
    <row r="304" spans="2:3" x14ac:dyDescent="0.4">
      <c r="B304" s="408"/>
      <c r="C304" s="408"/>
    </row>
    <row r="305" spans="2:3" x14ac:dyDescent="0.4">
      <c r="B305" s="408"/>
      <c r="C305" s="408"/>
    </row>
    <row r="306" spans="2:3" x14ac:dyDescent="0.4">
      <c r="B306" s="408"/>
      <c r="C306" s="408"/>
    </row>
    <row r="307" spans="2:3" x14ac:dyDescent="0.4">
      <c r="B307" s="408"/>
      <c r="C307" s="408"/>
    </row>
    <row r="308" spans="2:3" x14ac:dyDescent="0.4">
      <c r="B308" s="408"/>
      <c r="C308" s="408"/>
    </row>
    <row r="309" spans="2:3" x14ac:dyDescent="0.4">
      <c r="B309" s="408"/>
      <c r="C309" s="408"/>
    </row>
    <row r="310" spans="2:3" x14ac:dyDescent="0.4">
      <c r="B310" s="408"/>
      <c r="C310" s="408"/>
    </row>
    <row r="311" spans="2:3" x14ac:dyDescent="0.4">
      <c r="B311" s="408"/>
      <c r="C311" s="408"/>
    </row>
    <row r="312" spans="2:3" x14ac:dyDescent="0.4">
      <c r="B312" s="408"/>
      <c r="C312" s="408"/>
    </row>
    <row r="313" spans="2:3" x14ac:dyDescent="0.4">
      <c r="B313" s="408"/>
      <c r="C313" s="408"/>
    </row>
    <row r="314" spans="2:3" x14ac:dyDescent="0.4">
      <c r="B314" s="408"/>
      <c r="C314" s="408"/>
    </row>
    <row r="315" spans="2:3" x14ac:dyDescent="0.4">
      <c r="B315" s="408"/>
      <c r="C315" s="408"/>
    </row>
    <row r="316" spans="2:3" x14ac:dyDescent="0.4">
      <c r="B316" s="408"/>
      <c r="C316" s="408"/>
    </row>
    <row r="317" spans="2:3" x14ac:dyDescent="0.4">
      <c r="B317" s="408"/>
      <c r="C317" s="408"/>
    </row>
    <row r="318" spans="2:3" x14ac:dyDescent="0.4">
      <c r="B318" s="408"/>
      <c r="C318" s="408"/>
    </row>
    <row r="319" spans="2:3" x14ac:dyDescent="0.4">
      <c r="B319" s="408"/>
      <c r="C319" s="408"/>
    </row>
    <row r="320" spans="2:3" x14ac:dyDescent="0.4">
      <c r="B320" s="408"/>
      <c r="C320" s="408"/>
    </row>
    <row r="321" spans="2:3" x14ac:dyDescent="0.4">
      <c r="B321" s="408"/>
      <c r="C321" s="408"/>
    </row>
    <row r="322" spans="2:3" x14ac:dyDescent="0.4">
      <c r="B322" s="408"/>
      <c r="C322" s="408"/>
    </row>
    <row r="323" spans="2:3" x14ac:dyDescent="0.4">
      <c r="B323" s="408"/>
      <c r="C323" s="408"/>
    </row>
    <row r="324" spans="2:3" x14ac:dyDescent="0.4">
      <c r="B324" s="408"/>
      <c r="C324" s="408"/>
    </row>
    <row r="325" spans="2:3" x14ac:dyDescent="0.4">
      <c r="B325" s="408"/>
      <c r="C325" s="408"/>
    </row>
    <row r="326" spans="2:3" x14ac:dyDescent="0.4">
      <c r="B326" s="408"/>
      <c r="C326" s="408"/>
    </row>
    <row r="327" spans="2:3" x14ac:dyDescent="0.4">
      <c r="B327" s="408"/>
      <c r="C327" s="408"/>
    </row>
    <row r="328" spans="2:3" x14ac:dyDescent="0.4">
      <c r="B328" s="408"/>
      <c r="C328" s="408"/>
    </row>
    <row r="329" spans="2:3" x14ac:dyDescent="0.4">
      <c r="B329" s="408"/>
      <c r="C329" s="408"/>
    </row>
    <row r="330" spans="2:3" x14ac:dyDescent="0.4">
      <c r="B330" s="408"/>
      <c r="C330" s="408"/>
    </row>
    <row r="331" spans="2:3" x14ac:dyDescent="0.4">
      <c r="B331" s="408"/>
      <c r="C331" s="408"/>
    </row>
    <row r="332" spans="2:3" x14ac:dyDescent="0.4">
      <c r="B332" s="408"/>
      <c r="C332" s="408"/>
    </row>
    <row r="333" spans="2:3" x14ac:dyDescent="0.4">
      <c r="B333" s="408"/>
      <c r="C333" s="408"/>
    </row>
    <row r="334" spans="2:3" x14ac:dyDescent="0.4">
      <c r="B334" s="408"/>
      <c r="C334" s="408"/>
    </row>
    <row r="335" spans="2:3" x14ac:dyDescent="0.4">
      <c r="B335" s="408"/>
      <c r="C335" s="408"/>
    </row>
    <row r="336" spans="2:3" x14ac:dyDescent="0.4">
      <c r="B336" s="408"/>
      <c r="C336" s="408"/>
    </row>
    <row r="337" spans="2:3" x14ac:dyDescent="0.4">
      <c r="B337" s="408"/>
      <c r="C337" s="408"/>
    </row>
    <row r="338" spans="2:3" x14ac:dyDescent="0.4">
      <c r="B338" s="408"/>
      <c r="C338" s="408"/>
    </row>
    <row r="339" spans="2:3" x14ac:dyDescent="0.4">
      <c r="B339" s="408"/>
      <c r="C339" s="408"/>
    </row>
    <row r="340" spans="2:3" x14ac:dyDescent="0.4">
      <c r="B340" s="408"/>
      <c r="C340" s="408"/>
    </row>
    <row r="341" spans="2:3" x14ac:dyDescent="0.4">
      <c r="B341" s="408"/>
      <c r="C341" s="408"/>
    </row>
    <row r="342" spans="2:3" x14ac:dyDescent="0.4">
      <c r="B342" s="408"/>
      <c r="C342" s="408"/>
    </row>
    <row r="343" spans="2:3" x14ac:dyDescent="0.4">
      <c r="B343" s="408"/>
      <c r="C343" s="408"/>
    </row>
    <row r="344" spans="2:3" x14ac:dyDescent="0.4">
      <c r="B344" s="408"/>
      <c r="C344" s="408"/>
    </row>
    <row r="345" spans="2:3" x14ac:dyDescent="0.4">
      <c r="B345" s="408"/>
      <c r="C345" s="408"/>
    </row>
    <row r="346" spans="2:3" x14ac:dyDescent="0.4">
      <c r="B346" s="408"/>
      <c r="C346" s="408"/>
    </row>
    <row r="347" spans="2:3" x14ac:dyDescent="0.4">
      <c r="B347" s="408"/>
      <c r="C347" s="408"/>
    </row>
    <row r="348" spans="2:3" x14ac:dyDescent="0.4">
      <c r="B348" s="408"/>
      <c r="C348" s="408"/>
    </row>
    <row r="349" spans="2:3" x14ac:dyDescent="0.4">
      <c r="B349" s="408"/>
      <c r="C349" s="408"/>
    </row>
    <row r="350" spans="2:3" x14ac:dyDescent="0.4">
      <c r="B350" s="408"/>
      <c r="C350" s="408"/>
    </row>
    <row r="351" spans="2:3" x14ac:dyDescent="0.4">
      <c r="B351" s="408"/>
      <c r="C351" s="408"/>
    </row>
    <row r="352" spans="2:3" x14ac:dyDescent="0.4">
      <c r="B352" s="408"/>
      <c r="C352" s="408"/>
    </row>
    <row r="353" spans="2:3" x14ac:dyDescent="0.4">
      <c r="B353" s="408"/>
      <c r="C353" s="408"/>
    </row>
    <row r="354" spans="2:3" x14ac:dyDescent="0.4">
      <c r="B354" s="408"/>
      <c r="C354" s="408"/>
    </row>
    <row r="355" spans="2:3" x14ac:dyDescent="0.4">
      <c r="B355" s="408"/>
      <c r="C355" s="408"/>
    </row>
    <row r="356" spans="2:3" x14ac:dyDescent="0.4">
      <c r="B356" s="408"/>
      <c r="C356" s="408"/>
    </row>
    <row r="357" spans="2:3" x14ac:dyDescent="0.4">
      <c r="B357" s="408"/>
      <c r="C357" s="408"/>
    </row>
    <row r="358" spans="2:3" x14ac:dyDescent="0.4">
      <c r="B358" s="408"/>
      <c r="C358" s="408"/>
    </row>
    <row r="359" spans="2:3" x14ac:dyDescent="0.4">
      <c r="B359" s="408"/>
      <c r="C359" s="408"/>
    </row>
    <row r="360" spans="2:3" x14ac:dyDescent="0.4">
      <c r="B360" s="408"/>
      <c r="C360" s="408"/>
    </row>
    <row r="361" spans="2:3" x14ac:dyDescent="0.4">
      <c r="B361" s="408"/>
      <c r="C361" s="408"/>
    </row>
    <row r="362" spans="2:3" x14ac:dyDescent="0.4">
      <c r="B362" s="408"/>
      <c r="C362" s="408"/>
    </row>
    <row r="363" spans="2:3" x14ac:dyDescent="0.4">
      <c r="B363" s="408"/>
      <c r="C363" s="408"/>
    </row>
    <row r="364" spans="2:3" x14ac:dyDescent="0.4">
      <c r="B364" s="408"/>
      <c r="C364" s="408"/>
    </row>
    <row r="365" spans="2:3" x14ac:dyDescent="0.4">
      <c r="B365" s="408"/>
      <c r="C365" s="408"/>
    </row>
    <row r="366" spans="2:3" x14ac:dyDescent="0.4">
      <c r="B366" s="408"/>
      <c r="C366" s="408"/>
    </row>
    <row r="367" spans="2:3" x14ac:dyDescent="0.4">
      <c r="B367" s="408"/>
      <c r="C367" s="408"/>
    </row>
    <row r="368" spans="2:3" x14ac:dyDescent="0.4">
      <c r="B368" s="408"/>
      <c r="C368" s="408"/>
    </row>
    <row r="369" spans="2:3" x14ac:dyDescent="0.4">
      <c r="B369" s="408"/>
      <c r="C369" s="408"/>
    </row>
    <row r="370" spans="2:3" x14ac:dyDescent="0.4">
      <c r="B370" s="408"/>
      <c r="C370" s="408"/>
    </row>
    <row r="371" spans="2:3" x14ac:dyDescent="0.4">
      <c r="B371" s="408"/>
      <c r="C371" s="408"/>
    </row>
    <row r="372" spans="2:3" x14ac:dyDescent="0.4">
      <c r="B372" s="408"/>
      <c r="C372" s="408"/>
    </row>
    <row r="373" spans="2:3" x14ac:dyDescent="0.4">
      <c r="B373" s="408"/>
      <c r="C373" s="408"/>
    </row>
    <row r="374" spans="2:3" x14ac:dyDescent="0.4">
      <c r="B374" s="408"/>
      <c r="C374" s="408"/>
    </row>
    <row r="375" spans="2:3" x14ac:dyDescent="0.4">
      <c r="B375" s="408"/>
      <c r="C375" s="408"/>
    </row>
    <row r="376" spans="2:3" x14ac:dyDescent="0.4">
      <c r="B376" s="408"/>
      <c r="C376" s="408"/>
    </row>
    <row r="377" spans="2:3" x14ac:dyDescent="0.4">
      <c r="B377" s="408"/>
      <c r="C377" s="408"/>
    </row>
    <row r="378" spans="2:3" x14ac:dyDescent="0.4">
      <c r="B378" s="408"/>
      <c r="C378" s="408"/>
    </row>
    <row r="379" spans="2:3" x14ac:dyDescent="0.4">
      <c r="B379" s="408"/>
      <c r="C379" s="408"/>
    </row>
    <row r="380" spans="2:3" x14ac:dyDescent="0.4">
      <c r="B380" s="408"/>
      <c r="C380" s="408"/>
    </row>
    <row r="381" spans="2:3" x14ac:dyDescent="0.4">
      <c r="B381" s="408"/>
      <c r="C381" s="408"/>
    </row>
    <row r="382" spans="2:3" x14ac:dyDescent="0.4">
      <c r="B382" s="408"/>
      <c r="C382" s="408"/>
    </row>
    <row r="383" spans="2:3" x14ac:dyDescent="0.4">
      <c r="B383" s="408"/>
      <c r="C383" s="408"/>
    </row>
    <row r="384" spans="2:3" x14ac:dyDescent="0.4">
      <c r="B384" s="408"/>
      <c r="C384" s="408"/>
    </row>
    <row r="385" spans="2:3" x14ac:dyDescent="0.4">
      <c r="B385" s="408"/>
      <c r="C385" s="408"/>
    </row>
    <row r="386" spans="2:3" x14ac:dyDescent="0.4">
      <c r="B386" s="408"/>
      <c r="C386" s="408"/>
    </row>
    <row r="387" spans="2:3" x14ac:dyDescent="0.4">
      <c r="B387" s="408"/>
      <c r="C387" s="408"/>
    </row>
    <row r="388" spans="2:3" x14ac:dyDescent="0.4">
      <c r="B388" s="408"/>
      <c r="C388" s="408"/>
    </row>
    <row r="389" spans="2:3" x14ac:dyDescent="0.4">
      <c r="B389" s="408"/>
      <c r="C389" s="408"/>
    </row>
    <row r="390" spans="2:3" x14ac:dyDescent="0.4">
      <c r="B390" s="408"/>
      <c r="C390" s="408"/>
    </row>
    <row r="391" spans="2:3" x14ac:dyDescent="0.4">
      <c r="B391" s="408"/>
      <c r="C391" s="408"/>
    </row>
    <row r="392" spans="2:3" x14ac:dyDescent="0.4">
      <c r="B392" s="408"/>
      <c r="C392" s="408"/>
    </row>
    <row r="393" spans="2:3" x14ac:dyDescent="0.4">
      <c r="B393" s="408"/>
      <c r="C393" s="408"/>
    </row>
    <row r="394" spans="2:3" x14ac:dyDescent="0.4">
      <c r="B394" s="408"/>
      <c r="C394" s="408"/>
    </row>
    <row r="395" spans="2:3" x14ac:dyDescent="0.4">
      <c r="B395" s="408"/>
      <c r="C395" s="408"/>
    </row>
    <row r="396" spans="2:3" x14ac:dyDescent="0.4">
      <c r="B396" s="408"/>
      <c r="C396" s="408"/>
    </row>
    <row r="397" spans="2:3" x14ac:dyDescent="0.4">
      <c r="B397" s="408"/>
      <c r="C397" s="408"/>
    </row>
    <row r="398" spans="2:3" x14ac:dyDescent="0.4">
      <c r="B398" s="408"/>
      <c r="C398" s="408"/>
    </row>
    <row r="399" spans="2:3" x14ac:dyDescent="0.4">
      <c r="B399" s="408"/>
      <c r="C399" s="408"/>
    </row>
    <row r="400" spans="2:3" x14ac:dyDescent="0.4">
      <c r="B400" s="408"/>
      <c r="C400" s="408"/>
    </row>
    <row r="401" spans="2:3" x14ac:dyDescent="0.4">
      <c r="B401" s="408"/>
      <c r="C401" s="408"/>
    </row>
    <row r="402" spans="2:3" x14ac:dyDescent="0.4">
      <c r="B402" s="408"/>
      <c r="C402" s="408"/>
    </row>
    <row r="403" spans="2:3" x14ac:dyDescent="0.4">
      <c r="B403" s="408"/>
      <c r="C403" s="408"/>
    </row>
    <row r="404" spans="2:3" x14ac:dyDescent="0.4">
      <c r="B404" s="408"/>
      <c r="C404" s="408"/>
    </row>
    <row r="405" spans="2:3" x14ac:dyDescent="0.4">
      <c r="B405" s="408"/>
      <c r="C405" s="408"/>
    </row>
    <row r="406" spans="2:3" x14ac:dyDescent="0.4">
      <c r="B406" s="408"/>
      <c r="C406" s="408"/>
    </row>
    <row r="407" spans="2:3" x14ac:dyDescent="0.4">
      <c r="B407" s="408"/>
      <c r="C407" s="408"/>
    </row>
    <row r="408" spans="2:3" x14ac:dyDescent="0.4">
      <c r="B408" s="408"/>
      <c r="C408" s="408"/>
    </row>
    <row r="409" spans="2:3" x14ac:dyDescent="0.4">
      <c r="B409" s="408"/>
      <c r="C409" s="408"/>
    </row>
    <row r="410" spans="2:3" x14ac:dyDescent="0.4">
      <c r="B410" s="408"/>
      <c r="C410" s="408"/>
    </row>
    <row r="411" spans="2:3" x14ac:dyDescent="0.4">
      <c r="B411" s="408"/>
      <c r="C411" s="408"/>
    </row>
    <row r="412" spans="2:3" x14ac:dyDescent="0.4">
      <c r="B412" s="408"/>
      <c r="C412" s="408"/>
    </row>
    <row r="413" spans="2:3" x14ac:dyDescent="0.4">
      <c r="B413" s="408"/>
      <c r="C413" s="408"/>
    </row>
    <row r="414" spans="2:3" x14ac:dyDescent="0.4">
      <c r="B414" s="408"/>
      <c r="C414" s="408"/>
    </row>
    <row r="415" spans="2:3" x14ac:dyDescent="0.4">
      <c r="B415" s="408"/>
      <c r="C415" s="408"/>
    </row>
    <row r="416" spans="2:3" x14ac:dyDescent="0.4">
      <c r="B416" s="408"/>
      <c r="C416" s="408"/>
    </row>
    <row r="417" spans="2:3" x14ac:dyDescent="0.4">
      <c r="B417" s="408"/>
      <c r="C417" s="408"/>
    </row>
    <row r="418" spans="2:3" x14ac:dyDescent="0.4">
      <c r="B418" s="408"/>
      <c r="C418" s="408"/>
    </row>
    <row r="419" spans="2:3" x14ac:dyDescent="0.4">
      <c r="B419" s="408"/>
      <c r="C419" s="408"/>
    </row>
    <row r="420" spans="2:3" x14ac:dyDescent="0.4">
      <c r="B420" s="408"/>
      <c r="C420" s="408"/>
    </row>
    <row r="421" spans="2:3" x14ac:dyDescent="0.4">
      <c r="B421" s="408"/>
      <c r="C421" s="408"/>
    </row>
    <row r="422" spans="2:3" x14ac:dyDescent="0.4">
      <c r="B422" s="408"/>
      <c r="C422" s="408"/>
    </row>
    <row r="423" spans="2:3" x14ac:dyDescent="0.4">
      <c r="B423" s="408"/>
      <c r="C423" s="408"/>
    </row>
    <row r="424" spans="2:3" x14ac:dyDescent="0.4">
      <c r="B424" s="408"/>
      <c r="C424" s="408"/>
    </row>
    <row r="425" spans="2:3" x14ac:dyDescent="0.4">
      <c r="B425" s="408"/>
      <c r="C425" s="408"/>
    </row>
    <row r="426" spans="2:3" x14ac:dyDescent="0.4">
      <c r="B426" s="408"/>
      <c r="C426" s="408"/>
    </row>
    <row r="427" spans="2:3" x14ac:dyDescent="0.4">
      <c r="B427" s="408"/>
      <c r="C427" s="408"/>
    </row>
    <row r="428" spans="2:3" x14ac:dyDescent="0.4">
      <c r="B428" s="408"/>
      <c r="C428" s="408"/>
    </row>
    <row r="429" spans="2:3" x14ac:dyDescent="0.4">
      <c r="B429" s="408"/>
      <c r="C429" s="408"/>
    </row>
    <row r="430" spans="2:3" x14ac:dyDescent="0.4">
      <c r="B430" s="408"/>
      <c r="C430" s="408"/>
    </row>
    <row r="431" spans="2:3" x14ac:dyDescent="0.4">
      <c r="B431" s="408"/>
      <c r="C431" s="408"/>
    </row>
    <row r="432" spans="2:3" x14ac:dyDescent="0.4">
      <c r="B432" s="408"/>
      <c r="C432" s="408"/>
    </row>
    <row r="433" spans="2:3" x14ac:dyDescent="0.4">
      <c r="B433" s="408"/>
      <c r="C433" s="408"/>
    </row>
    <row r="434" spans="2:3" x14ac:dyDescent="0.4">
      <c r="B434" s="408"/>
      <c r="C434" s="408"/>
    </row>
    <row r="435" spans="2:3" x14ac:dyDescent="0.4">
      <c r="B435" s="408"/>
      <c r="C435" s="408"/>
    </row>
    <row r="436" spans="2:3" x14ac:dyDescent="0.4">
      <c r="B436" s="408"/>
      <c r="C436" s="408"/>
    </row>
    <row r="437" spans="2:3" x14ac:dyDescent="0.4">
      <c r="B437" s="408"/>
      <c r="C437" s="408"/>
    </row>
    <row r="438" spans="2:3" x14ac:dyDescent="0.4">
      <c r="B438" s="408"/>
      <c r="C438" s="408"/>
    </row>
    <row r="439" spans="2:3" x14ac:dyDescent="0.4">
      <c r="B439" s="408"/>
      <c r="C439" s="408"/>
    </row>
    <row r="440" spans="2:3" x14ac:dyDescent="0.4">
      <c r="B440" s="408"/>
      <c r="C440" s="408"/>
    </row>
    <row r="441" spans="2:3" x14ac:dyDescent="0.4">
      <c r="B441" s="408"/>
      <c r="C441" s="408"/>
    </row>
    <row r="442" spans="2:3" x14ac:dyDescent="0.4">
      <c r="B442" s="408"/>
      <c r="C442" s="408"/>
    </row>
    <row r="443" spans="2:3" x14ac:dyDescent="0.4">
      <c r="B443" s="408"/>
      <c r="C443" s="408"/>
    </row>
    <row r="444" spans="2:3" x14ac:dyDescent="0.4">
      <c r="B444" s="408"/>
      <c r="C444" s="408"/>
    </row>
    <row r="445" spans="2:3" x14ac:dyDescent="0.4">
      <c r="B445" s="408"/>
      <c r="C445" s="408"/>
    </row>
    <row r="446" spans="2:3" x14ac:dyDescent="0.4">
      <c r="B446" s="408"/>
      <c r="C446" s="408"/>
    </row>
    <row r="447" spans="2:3" x14ac:dyDescent="0.4">
      <c r="B447" s="408"/>
      <c r="C447" s="408"/>
    </row>
    <row r="448" spans="2:3" x14ac:dyDescent="0.4">
      <c r="B448" s="408"/>
      <c r="C448" s="408"/>
    </row>
    <row r="449" spans="2:3" x14ac:dyDescent="0.4">
      <c r="B449" s="408"/>
      <c r="C449" s="408"/>
    </row>
    <row r="450" spans="2:3" x14ac:dyDescent="0.4">
      <c r="B450" s="408"/>
      <c r="C450" s="408"/>
    </row>
    <row r="451" spans="2:3" x14ac:dyDescent="0.4">
      <c r="B451" s="408"/>
      <c r="C451" s="408"/>
    </row>
    <row r="452" spans="2:3" x14ac:dyDescent="0.4">
      <c r="B452" s="408"/>
      <c r="C452" s="408"/>
    </row>
    <row r="453" spans="2:3" x14ac:dyDescent="0.4">
      <c r="B453" s="408"/>
      <c r="C453" s="408"/>
    </row>
    <row r="454" spans="2:3" x14ac:dyDescent="0.4">
      <c r="B454" s="408"/>
      <c r="C454" s="408"/>
    </row>
    <row r="455" spans="2:3" x14ac:dyDescent="0.4">
      <c r="B455" s="408"/>
      <c r="C455" s="408"/>
    </row>
    <row r="456" spans="2:3" x14ac:dyDescent="0.4">
      <c r="B456" s="408"/>
      <c r="C456" s="408"/>
    </row>
    <row r="457" spans="2:3" x14ac:dyDescent="0.4">
      <c r="B457" s="408"/>
      <c r="C457" s="408"/>
    </row>
    <row r="458" spans="2:3" x14ac:dyDescent="0.4">
      <c r="B458" s="408"/>
      <c r="C458" s="408"/>
    </row>
    <row r="459" spans="2:3" x14ac:dyDescent="0.4">
      <c r="B459" s="408"/>
      <c r="C459" s="408"/>
    </row>
    <row r="460" spans="2:3" x14ac:dyDescent="0.4">
      <c r="B460" s="408"/>
      <c r="C460" s="408"/>
    </row>
    <row r="461" spans="2:3" x14ac:dyDescent="0.4">
      <c r="B461" s="408"/>
      <c r="C461" s="408"/>
    </row>
    <row r="462" spans="2:3" x14ac:dyDescent="0.4">
      <c r="B462" s="408"/>
      <c r="C462" s="408"/>
    </row>
    <row r="463" spans="2:3" x14ac:dyDescent="0.4">
      <c r="B463" s="408"/>
      <c r="C463" s="408"/>
    </row>
    <row r="464" spans="2:3" x14ac:dyDescent="0.4">
      <c r="B464" s="408"/>
      <c r="C464" s="408"/>
    </row>
    <row r="465" spans="2:3" x14ac:dyDescent="0.4">
      <c r="B465" s="408"/>
      <c r="C465" s="408"/>
    </row>
    <row r="466" spans="2:3" x14ac:dyDescent="0.4">
      <c r="B466" s="408"/>
      <c r="C466" s="408"/>
    </row>
    <row r="467" spans="2:3" x14ac:dyDescent="0.4">
      <c r="B467" s="408"/>
      <c r="C467" s="408"/>
    </row>
    <row r="468" spans="2:3" x14ac:dyDescent="0.4">
      <c r="B468" s="408"/>
      <c r="C468" s="408"/>
    </row>
    <row r="469" spans="2:3" x14ac:dyDescent="0.4">
      <c r="B469" s="408"/>
      <c r="C469" s="408"/>
    </row>
    <row r="470" spans="2:3" x14ac:dyDescent="0.4">
      <c r="B470" s="408"/>
      <c r="C470" s="408"/>
    </row>
    <row r="471" spans="2:3" x14ac:dyDescent="0.4">
      <c r="B471" s="408"/>
      <c r="C471" s="408"/>
    </row>
    <row r="472" spans="2:3" x14ac:dyDescent="0.4">
      <c r="B472" s="408"/>
      <c r="C472" s="408"/>
    </row>
    <row r="473" spans="2:3" x14ac:dyDescent="0.4">
      <c r="B473" s="408"/>
      <c r="C473" s="408"/>
    </row>
    <row r="474" spans="2:3" x14ac:dyDescent="0.4">
      <c r="B474" s="408"/>
      <c r="C474" s="408"/>
    </row>
    <row r="475" spans="2:3" x14ac:dyDescent="0.4">
      <c r="B475" s="408"/>
      <c r="C475" s="408"/>
    </row>
    <row r="476" spans="2:3" x14ac:dyDescent="0.4">
      <c r="B476" s="408"/>
      <c r="C476" s="408"/>
    </row>
    <row r="477" spans="2:3" x14ac:dyDescent="0.4">
      <c r="B477" s="408"/>
      <c r="C477" s="408"/>
    </row>
    <row r="478" spans="2:3" x14ac:dyDescent="0.4">
      <c r="B478" s="408"/>
      <c r="C478" s="408"/>
    </row>
    <row r="479" spans="2:3" x14ac:dyDescent="0.4">
      <c r="B479" s="408"/>
      <c r="C479" s="408"/>
    </row>
    <row r="480" spans="2:3" x14ac:dyDescent="0.4">
      <c r="B480" s="408"/>
      <c r="C480" s="408"/>
    </row>
    <row r="481" spans="2:3" x14ac:dyDescent="0.4">
      <c r="B481" s="408"/>
      <c r="C481" s="408"/>
    </row>
    <row r="482" spans="2:3" x14ac:dyDescent="0.4">
      <c r="B482" s="408"/>
      <c r="C482" s="408"/>
    </row>
    <row r="483" spans="2:3" x14ac:dyDescent="0.4">
      <c r="B483" s="408"/>
      <c r="C483" s="408"/>
    </row>
    <row r="484" spans="2:3" x14ac:dyDescent="0.4">
      <c r="B484" s="408"/>
      <c r="C484" s="408"/>
    </row>
    <row r="485" spans="2:3" x14ac:dyDescent="0.4">
      <c r="B485" s="408"/>
      <c r="C485" s="408"/>
    </row>
    <row r="486" spans="2:3" x14ac:dyDescent="0.4">
      <c r="B486" s="408"/>
      <c r="C486" s="408"/>
    </row>
    <row r="487" spans="2:3" x14ac:dyDescent="0.4">
      <c r="B487" s="408"/>
      <c r="C487" s="408"/>
    </row>
    <row r="488" spans="2:3" x14ac:dyDescent="0.4">
      <c r="B488" s="408"/>
      <c r="C488" s="408"/>
    </row>
    <row r="489" spans="2:3" x14ac:dyDescent="0.4">
      <c r="B489" s="408"/>
      <c r="C489" s="408"/>
    </row>
    <row r="490" spans="2:3" x14ac:dyDescent="0.4">
      <c r="B490" s="408"/>
      <c r="C490" s="408"/>
    </row>
    <row r="491" spans="2:3" x14ac:dyDescent="0.4">
      <c r="B491" s="408"/>
      <c r="C491" s="408"/>
    </row>
    <row r="492" spans="2:3" x14ac:dyDescent="0.4">
      <c r="B492" s="408"/>
      <c r="C492" s="408"/>
    </row>
    <row r="493" spans="2:3" x14ac:dyDescent="0.4">
      <c r="B493" s="408"/>
      <c r="C493" s="408"/>
    </row>
    <row r="494" spans="2:3" x14ac:dyDescent="0.4">
      <c r="B494" s="408"/>
      <c r="C494" s="408"/>
    </row>
    <row r="495" spans="2:3" x14ac:dyDescent="0.4">
      <c r="B495" s="408"/>
      <c r="C495" s="408"/>
    </row>
    <row r="496" spans="2:3" x14ac:dyDescent="0.4">
      <c r="B496" s="408"/>
      <c r="C496" s="408"/>
    </row>
    <row r="497" spans="2:3" x14ac:dyDescent="0.4">
      <c r="B497" s="408"/>
      <c r="C497" s="408"/>
    </row>
    <row r="498" spans="2:3" x14ac:dyDescent="0.4">
      <c r="B498" s="408"/>
      <c r="C498" s="408"/>
    </row>
    <row r="499" spans="2:3" x14ac:dyDescent="0.4">
      <c r="B499" s="408"/>
      <c r="C499" s="408"/>
    </row>
    <row r="500" spans="2:3" x14ac:dyDescent="0.4">
      <c r="B500" s="408"/>
      <c r="C500" s="408"/>
    </row>
    <row r="501" spans="2:3" x14ac:dyDescent="0.4">
      <c r="B501" s="408"/>
      <c r="C501" s="408"/>
    </row>
    <row r="502" spans="2:3" x14ac:dyDescent="0.4">
      <c r="B502" s="408"/>
      <c r="C502" s="408"/>
    </row>
    <row r="503" spans="2:3" x14ac:dyDescent="0.4">
      <c r="B503" s="408"/>
      <c r="C503" s="408"/>
    </row>
    <row r="504" spans="2:3" x14ac:dyDescent="0.4">
      <c r="B504" s="408"/>
      <c r="C504" s="408"/>
    </row>
    <row r="505" spans="2:3" x14ac:dyDescent="0.4">
      <c r="B505" s="408"/>
      <c r="C505" s="408"/>
    </row>
    <row r="506" spans="2:3" x14ac:dyDescent="0.4">
      <c r="B506" s="408"/>
      <c r="C506" s="408"/>
    </row>
    <row r="507" spans="2:3" x14ac:dyDescent="0.4">
      <c r="B507" s="408"/>
      <c r="C507" s="408"/>
    </row>
    <row r="508" spans="2:3" x14ac:dyDescent="0.4">
      <c r="B508" s="408"/>
      <c r="C508" s="408"/>
    </row>
    <row r="509" spans="2:3" x14ac:dyDescent="0.4">
      <c r="B509" s="408"/>
      <c r="C509" s="408"/>
    </row>
    <row r="510" spans="2:3" x14ac:dyDescent="0.4">
      <c r="B510" s="408"/>
      <c r="C510" s="408"/>
    </row>
    <row r="511" spans="2:3" x14ac:dyDescent="0.4">
      <c r="B511" s="408"/>
      <c r="C511" s="408"/>
    </row>
    <row r="512" spans="2:3" x14ac:dyDescent="0.4">
      <c r="B512" s="408"/>
      <c r="C512" s="408"/>
    </row>
    <row r="513" spans="2:3" x14ac:dyDescent="0.4">
      <c r="B513" s="408"/>
      <c r="C513" s="408"/>
    </row>
    <row r="514" spans="2:3" x14ac:dyDescent="0.4">
      <c r="B514" s="408"/>
      <c r="C514" s="408"/>
    </row>
    <row r="515" spans="2:3" x14ac:dyDescent="0.4">
      <c r="B515" s="408"/>
      <c r="C515" s="408"/>
    </row>
    <row r="516" spans="2:3" x14ac:dyDescent="0.4">
      <c r="B516" s="408"/>
      <c r="C516" s="408"/>
    </row>
    <row r="517" spans="2:3" x14ac:dyDescent="0.4">
      <c r="B517" s="408"/>
      <c r="C517" s="408"/>
    </row>
    <row r="518" spans="2:3" x14ac:dyDescent="0.4">
      <c r="B518" s="408"/>
      <c r="C518" s="408"/>
    </row>
    <row r="519" spans="2:3" x14ac:dyDescent="0.4">
      <c r="B519" s="408"/>
      <c r="C519" s="408"/>
    </row>
    <row r="520" spans="2:3" x14ac:dyDescent="0.4">
      <c r="B520" s="408"/>
      <c r="C520" s="408"/>
    </row>
    <row r="521" spans="2:3" x14ac:dyDescent="0.4">
      <c r="B521" s="408"/>
      <c r="C521" s="408"/>
    </row>
    <row r="522" spans="2:3" x14ac:dyDescent="0.4">
      <c r="B522" s="408"/>
      <c r="C522" s="408"/>
    </row>
    <row r="523" spans="2:3" x14ac:dyDescent="0.4">
      <c r="B523" s="408"/>
      <c r="C523" s="408"/>
    </row>
    <row r="524" spans="2:3" x14ac:dyDescent="0.4">
      <c r="B524" s="408"/>
      <c r="C524" s="408"/>
    </row>
    <row r="525" spans="2:3" x14ac:dyDescent="0.4">
      <c r="B525" s="408"/>
      <c r="C525" s="408"/>
    </row>
    <row r="526" spans="2:3" x14ac:dyDescent="0.4">
      <c r="B526" s="408"/>
      <c r="C526" s="408"/>
    </row>
    <row r="527" spans="2:3" x14ac:dyDescent="0.4">
      <c r="B527" s="408"/>
      <c r="C527" s="408"/>
    </row>
    <row r="528" spans="2:3" x14ac:dyDescent="0.4">
      <c r="B528" s="408"/>
      <c r="C528" s="408"/>
    </row>
    <row r="529" spans="2:3" x14ac:dyDescent="0.4">
      <c r="B529" s="408"/>
      <c r="C529" s="408"/>
    </row>
    <row r="530" spans="2:3" x14ac:dyDescent="0.4">
      <c r="B530" s="408"/>
      <c r="C530" s="408"/>
    </row>
    <row r="531" spans="2:3" x14ac:dyDescent="0.4">
      <c r="B531" s="408"/>
      <c r="C531" s="408"/>
    </row>
    <row r="532" spans="2:3" x14ac:dyDescent="0.4">
      <c r="B532" s="408"/>
      <c r="C532" s="408"/>
    </row>
    <row r="533" spans="2:3" x14ac:dyDescent="0.4">
      <c r="B533" s="408"/>
      <c r="C533" s="408"/>
    </row>
    <row r="534" spans="2:3" x14ac:dyDescent="0.4">
      <c r="B534" s="408"/>
      <c r="C534" s="408"/>
    </row>
    <row r="535" spans="2:3" x14ac:dyDescent="0.4">
      <c r="B535" s="408"/>
      <c r="C535" s="408"/>
    </row>
    <row r="536" spans="2:3" x14ac:dyDescent="0.4">
      <c r="B536" s="408"/>
      <c r="C536" s="408"/>
    </row>
    <row r="537" spans="2:3" x14ac:dyDescent="0.4">
      <c r="B537" s="408"/>
      <c r="C537" s="408"/>
    </row>
    <row r="538" spans="2:3" x14ac:dyDescent="0.4">
      <c r="B538" s="408"/>
      <c r="C538" s="408"/>
    </row>
    <row r="539" spans="2:3" x14ac:dyDescent="0.4">
      <c r="B539" s="408"/>
      <c r="C539" s="408"/>
    </row>
    <row r="540" spans="2:3" x14ac:dyDescent="0.4">
      <c r="B540" s="408"/>
      <c r="C540" s="408"/>
    </row>
    <row r="541" spans="2:3" x14ac:dyDescent="0.4">
      <c r="B541" s="408"/>
      <c r="C541" s="408"/>
    </row>
    <row r="542" spans="2:3" x14ac:dyDescent="0.4">
      <c r="B542" s="408"/>
      <c r="C542" s="408"/>
    </row>
    <row r="543" spans="2:3" x14ac:dyDescent="0.4">
      <c r="B543" s="408"/>
      <c r="C543" s="408"/>
    </row>
    <row r="544" spans="2:3" x14ac:dyDescent="0.4">
      <c r="B544" s="408"/>
      <c r="C544" s="408"/>
    </row>
    <row r="545" spans="2:3" x14ac:dyDescent="0.4">
      <c r="B545" s="408"/>
      <c r="C545" s="408"/>
    </row>
    <row r="546" spans="2:3" x14ac:dyDescent="0.4">
      <c r="B546" s="408"/>
      <c r="C546" s="408"/>
    </row>
    <row r="547" spans="2:3" x14ac:dyDescent="0.4">
      <c r="B547" s="408"/>
      <c r="C547" s="408"/>
    </row>
    <row r="548" spans="2:3" x14ac:dyDescent="0.4">
      <c r="B548" s="408"/>
      <c r="C548" s="408"/>
    </row>
    <row r="549" spans="2:3" x14ac:dyDescent="0.4">
      <c r="B549" s="408"/>
      <c r="C549" s="408"/>
    </row>
    <row r="550" spans="2:3" x14ac:dyDescent="0.4">
      <c r="B550" s="408"/>
      <c r="C550" s="408"/>
    </row>
    <row r="551" spans="2:3" x14ac:dyDescent="0.4">
      <c r="B551" s="408"/>
      <c r="C551" s="408"/>
    </row>
    <row r="552" spans="2:3" x14ac:dyDescent="0.4">
      <c r="B552" s="408"/>
      <c r="C552" s="408"/>
    </row>
    <row r="553" spans="2:3" x14ac:dyDescent="0.4">
      <c r="B553" s="408"/>
      <c r="C553" s="408"/>
    </row>
    <row r="554" spans="2:3" x14ac:dyDescent="0.4">
      <c r="B554" s="408"/>
      <c r="C554" s="408"/>
    </row>
    <row r="555" spans="2:3" x14ac:dyDescent="0.4">
      <c r="B555" s="408"/>
      <c r="C555" s="408"/>
    </row>
    <row r="556" spans="2:3" x14ac:dyDescent="0.4">
      <c r="B556" s="408"/>
      <c r="C556" s="408"/>
    </row>
    <row r="557" spans="2:3" x14ac:dyDescent="0.4">
      <c r="B557" s="408"/>
      <c r="C557" s="408"/>
    </row>
    <row r="558" spans="2:3" x14ac:dyDescent="0.4">
      <c r="B558" s="408"/>
      <c r="C558" s="408"/>
    </row>
    <row r="559" spans="2:3" x14ac:dyDescent="0.4">
      <c r="B559" s="408"/>
      <c r="C559" s="408"/>
    </row>
    <row r="560" spans="2:3" x14ac:dyDescent="0.4">
      <c r="B560" s="408"/>
      <c r="C560" s="408"/>
    </row>
    <row r="561" spans="2:3" x14ac:dyDescent="0.4">
      <c r="B561" s="408"/>
      <c r="C561" s="408"/>
    </row>
    <row r="562" spans="2:3" x14ac:dyDescent="0.4">
      <c r="B562" s="408"/>
      <c r="C562" s="408"/>
    </row>
    <row r="563" spans="2:3" x14ac:dyDescent="0.4">
      <c r="B563" s="408"/>
      <c r="C563" s="408"/>
    </row>
    <row r="564" spans="2:3" x14ac:dyDescent="0.4">
      <c r="B564" s="408"/>
      <c r="C564" s="408"/>
    </row>
    <row r="565" spans="2:3" x14ac:dyDescent="0.4">
      <c r="B565" s="408"/>
      <c r="C565" s="408"/>
    </row>
    <row r="566" spans="2:3" x14ac:dyDescent="0.4">
      <c r="B566" s="408"/>
      <c r="C566" s="408"/>
    </row>
    <row r="567" spans="2:3" x14ac:dyDescent="0.4">
      <c r="B567" s="408"/>
      <c r="C567" s="408"/>
    </row>
    <row r="568" spans="2:3" x14ac:dyDescent="0.4">
      <c r="B568" s="408"/>
      <c r="C568" s="408"/>
    </row>
    <row r="569" spans="2:3" x14ac:dyDescent="0.4">
      <c r="B569" s="408"/>
      <c r="C569" s="408"/>
    </row>
    <row r="570" spans="2:3" x14ac:dyDescent="0.4">
      <c r="B570" s="408"/>
      <c r="C570" s="408"/>
    </row>
    <row r="571" spans="2:3" x14ac:dyDescent="0.4">
      <c r="B571" s="408"/>
      <c r="C571" s="408"/>
    </row>
    <row r="572" spans="2:3" x14ac:dyDescent="0.4">
      <c r="B572" s="408"/>
      <c r="C572" s="408"/>
    </row>
    <row r="573" spans="2:3" x14ac:dyDescent="0.4">
      <c r="B573" s="408"/>
      <c r="C573" s="408"/>
    </row>
    <row r="574" spans="2:3" x14ac:dyDescent="0.4">
      <c r="B574" s="408"/>
      <c r="C574" s="408"/>
    </row>
    <row r="575" spans="2:3" x14ac:dyDescent="0.4">
      <c r="B575" s="408"/>
      <c r="C575" s="408"/>
    </row>
    <row r="576" spans="2:3" x14ac:dyDescent="0.4">
      <c r="B576" s="408"/>
      <c r="C576" s="408"/>
    </row>
    <row r="577" spans="2:3" x14ac:dyDescent="0.4">
      <c r="B577" s="408"/>
      <c r="C577" s="408"/>
    </row>
    <row r="578" spans="2:3" x14ac:dyDescent="0.4">
      <c r="B578" s="408"/>
      <c r="C578" s="408"/>
    </row>
    <row r="579" spans="2:3" x14ac:dyDescent="0.4">
      <c r="B579" s="408"/>
      <c r="C579" s="408"/>
    </row>
    <row r="580" spans="2:3" x14ac:dyDescent="0.4">
      <c r="B580" s="408"/>
      <c r="C580" s="408"/>
    </row>
    <row r="581" spans="2:3" x14ac:dyDescent="0.4">
      <c r="B581" s="408"/>
      <c r="C581" s="408"/>
    </row>
    <row r="582" spans="2:3" x14ac:dyDescent="0.4">
      <c r="B582" s="408"/>
      <c r="C582" s="408"/>
    </row>
    <row r="583" spans="2:3" x14ac:dyDescent="0.4">
      <c r="B583" s="408"/>
      <c r="C583" s="408"/>
    </row>
    <row r="584" spans="2:3" x14ac:dyDescent="0.4">
      <c r="B584" s="408"/>
      <c r="C584" s="408"/>
    </row>
    <row r="585" spans="2:3" x14ac:dyDescent="0.4">
      <c r="B585" s="408"/>
      <c r="C585" s="408"/>
    </row>
    <row r="586" spans="2:3" x14ac:dyDescent="0.4">
      <c r="B586" s="408"/>
      <c r="C586" s="408"/>
    </row>
    <row r="587" spans="2:3" x14ac:dyDescent="0.4">
      <c r="B587" s="408"/>
      <c r="C587" s="408"/>
    </row>
    <row r="588" spans="2:3" x14ac:dyDescent="0.4">
      <c r="B588" s="408"/>
      <c r="C588" s="408"/>
    </row>
    <row r="589" spans="2:3" x14ac:dyDescent="0.4">
      <c r="B589" s="408"/>
      <c r="C589" s="408"/>
    </row>
    <row r="590" spans="2:3" x14ac:dyDescent="0.4">
      <c r="B590" s="408"/>
      <c r="C590" s="408"/>
    </row>
    <row r="591" spans="2:3" x14ac:dyDescent="0.4">
      <c r="B591" s="408"/>
      <c r="C591" s="408"/>
    </row>
    <row r="592" spans="2:3" x14ac:dyDescent="0.4">
      <c r="B592" s="408"/>
      <c r="C592" s="408"/>
    </row>
    <row r="593" spans="2:3" x14ac:dyDescent="0.4">
      <c r="B593" s="408"/>
      <c r="C593" s="408"/>
    </row>
    <row r="594" spans="2:3" x14ac:dyDescent="0.4">
      <c r="B594" s="408"/>
      <c r="C594" s="408"/>
    </row>
    <row r="595" spans="2:3" x14ac:dyDescent="0.4">
      <c r="B595" s="408"/>
      <c r="C595" s="408"/>
    </row>
    <row r="596" spans="2:3" x14ac:dyDescent="0.4">
      <c r="B596" s="408"/>
      <c r="C596" s="408"/>
    </row>
    <row r="597" spans="2:3" x14ac:dyDescent="0.4">
      <c r="B597" s="408"/>
      <c r="C597" s="408"/>
    </row>
    <row r="598" spans="2:3" x14ac:dyDescent="0.4">
      <c r="B598" s="408"/>
      <c r="C598" s="408"/>
    </row>
    <row r="599" spans="2:3" x14ac:dyDescent="0.4">
      <c r="B599" s="408"/>
      <c r="C599" s="408"/>
    </row>
    <row r="600" spans="2:3" x14ac:dyDescent="0.4">
      <c r="B600" s="408"/>
      <c r="C600" s="408"/>
    </row>
    <row r="601" spans="2:3" x14ac:dyDescent="0.4">
      <c r="B601" s="408"/>
      <c r="C601" s="408"/>
    </row>
    <row r="602" spans="2:3" x14ac:dyDescent="0.4">
      <c r="B602" s="408"/>
      <c r="C602" s="408"/>
    </row>
    <row r="603" spans="2:3" x14ac:dyDescent="0.4">
      <c r="B603" s="408"/>
      <c r="C603" s="408"/>
    </row>
    <row r="604" spans="2:3" x14ac:dyDescent="0.4">
      <c r="B604" s="408"/>
      <c r="C604" s="408"/>
    </row>
    <row r="605" spans="2:3" x14ac:dyDescent="0.4">
      <c r="B605" s="408"/>
      <c r="C605" s="408"/>
    </row>
    <row r="606" spans="2:3" x14ac:dyDescent="0.4">
      <c r="B606" s="408"/>
      <c r="C606" s="408"/>
    </row>
    <row r="607" spans="2:3" x14ac:dyDescent="0.4">
      <c r="B607" s="408"/>
      <c r="C607" s="408"/>
    </row>
    <row r="608" spans="2:3" x14ac:dyDescent="0.4">
      <c r="B608" s="408"/>
      <c r="C608" s="408"/>
    </row>
    <row r="609" spans="2:3" x14ac:dyDescent="0.4">
      <c r="B609" s="408"/>
      <c r="C609" s="408"/>
    </row>
    <row r="610" spans="2:3" x14ac:dyDescent="0.4">
      <c r="B610" s="408"/>
      <c r="C610" s="408"/>
    </row>
    <row r="611" spans="2:3" x14ac:dyDescent="0.4">
      <c r="B611" s="408"/>
      <c r="C611" s="408"/>
    </row>
    <row r="612" spans="2:3" x14ac:dyDescent="0.4">
      <c r="B612" s="408"/>
      <c r="C612" s="408"/>
    </row>
    <row r="613" spans="2:3" x14ac:dyDescent="0.4">
      <c r="B613" s="408"/>
      <c r="C613" s="408"/>
    </row>
    <row r="614" spans="2:3" x14ac:dyDescent="0.4">
      <c r="B614" s="408"/>
      <c r="C614" s="408"/>
    </row>
    <row r="615" spans="2:3" x14ac:dyDescent="0.4">
      <c r="B615" s="408"/>
      <c r="C615" s="408"/>
    </row>
    <row r="616" spans="2:3" x14ac:dyDescent="0.4">
      <c r="B616" s="408"/>
      <c r="C616" s="408"/>
    </row>
    <row r="617" spans="2:3" x14ac:dyDescent="0.4">
      <c r="B617" s="408"/>
      <c r="C617" s="408"/>
    </row>
    <row r="618" spans="2:3" x14ac:dyDescent="0.4">
      <c r="B618" s="408"/>
      <c r="C618" s="408"/>
    </row>
    <row r="619" spans="2:3" x14ac:dyDescent="0.4">
      <c r="B619" s="408"/>
      <c r="C619" s="408"/>
    </row>
    <row r="620" spans="2:3" x14ac:dyDescent="0.4">
      <c r="B620" s="408"/>
      <c r="C620" s="408"/>
    </row>
    <row r="621" spans="2:3" x14ac:dyDescent="0.4">
      <c r="B621" s="408"/>
      <c r="C621" s="408"/>
    </row>
  </sheetData>
  <pageMargins left="0.7" right="0.7" top="0.75" bottom="0.75" header="0.3" footer="0.3"/>
  <pageSetup scale="80" orientation="portrait" r:id="rId1"/>
  <headerFooter>
    <oddHeader>&amp;RAttachment H</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63"/>
  <sheetViews>
    <sheetView zoomScaleNormal="100" zoomScaleSheetLayoutView="100" workbookViewId="0">
      <pane xSplit="2" ySplit="4" topLeftCell="C5" activePane="bottomRight" state="frozen"/>
      <selection activeCell="X17" sqref="X17"/>
      <selection pane="topRight" activeCell="X17" sqref="X17"/>
      <selection pane="bottomLeft" activeCell="X17" sqref="X17"/>
      <selection pane="bottomRight" activeCell="Y20" sqref="Y20"/>
    </sheetView>
  </sheetViews>
  <sheetFormatPr defaultRowHeight="14.25" x14ac:dyDescent="0.45"/>
  <cols>
    <col min="2" max="2" width="15.86328125" bestFit="1" customWidth="1"/>
    <col min="3" max="3" width="14.3984375" style="1" customWidth="1"/>
    <col min="4" max="4" width="15.1328125" style="1" bestFit="1" customWidth="1"/>
    <col min="5" max="5" width="14.3984375" style="1" customWidth="1"/>
    <col min="6" max="6" width="14.1328125" style="1" customWidth="1"/>
    <col min="7" max="7" width="16.1328125" style="1" bestFit="1" customWidth="1"/>
    <col min="8" max="8" width="14.59765625" style="1" customWidth="1"/>
    <col min="9" max="9" width="13.1328125" style="1" customWidth="1"/>
    <col min="10" max="10" width="13.3984375" style="1" customWidth="1"/>
    <col min="11" max="11" width="15" style="1" customWidth="1"/>
    <col min="12" max="12" width="0" hidden="1" customWidth="1"/>
    <col min="13" max="13" width="1.86328125" customWidth="1"/>
    <col min="14" max="14" width="14.265625" hidden="1" customWidth="1"/>
    <col min="15" max="15" width="17" hidden="1" customWidth="1"/>
    <col min="16" max="16" width="11.73046875" hidden="1" customWidth="1"/>
    <col min="17" max="20" width="0" hidden="1" customWidth="1"/>
  </cols>
  <sheetData>
    <row r="1" spans="1:20" ht="18" x14ac:dyDescent="0.55000000000000004">
      <c r="A1" s="46" t="s">
        <v>472</v>
      </c>
    </row>
    <row r="3" spans="1:20" ht="85.5" x14ac:dyDescent="0.45">
      <c r="C3" s="42" t="s">
        <v>473</v>
      </c>
      <c r="D3" s="42" t="s">
        <v>474</v>
      </c>
      <c r="E3" s="42" t="s">
        <v>475</v>
      </c>
      <c r="F3" s="42" t="s">
        <v>476</v>
      </c>
      <c r="G3" s="42" t="s">
        <v>477</v>
      </c>
      <c r="H3" s="42" t="s">
        <v>503</v>
      </c>
      <c r="I3" s="42" t="s">
        <v>504</v>
      </c>
      <c r="J3" s="42" t="s">
        <v>404</v>
      </c>
      <c r="K3" s="42" t="s">
        <v>478</v>
      </c>
    </row>
    <row r="4" spans="1:20" ht="57" x14ac:dyDescent="0.45">
      <c r="A4" s="41" t="s">
        <v>72</v>
      </c>
      <c r="B4" s="41" t="s">
        <v>63</v>
      </c>
      <c r="C4" s="42" t="s">
        <v>68</v>
      </c>
      <c r="D4" s="42" t="s">
        <v>1</v>
      </c>
      <c r="E4" s="42" t="s">
        <v>69</v>
      </c>
      <c r="F4" s="42" t="s">
        <v>2</v>
      </c>
      <c r="G4" s="42" t="s">
        <v>3</v>
      </c>
      <c r="H4" s="42" t="s">
        <v>142</v>
      </c>
      <c r="I4" s="42" t="s">
        <v>70</v>
      </c>
      <c r="J4" s="42" t="s">
        <v>143</v>
      </c>
      <c r="K4" s="42" t="s">
        <v>405</v>
      </c>
      <c r="L4" s="264" t="s">
        <v>506</v>
      </c>
      <c r="N4" s="266" t="s">
        <v>508</v>
      </c>
      <c r="O4" s="266" t="s">
        <v>507</v>
      </c>
    </row>
    <row r="5" spans="1:20" ht="15.75" x14ac:dyDescent="0.5">
      <c r="A5" s="19">
        <v>4</v>
      </c>
      <c r="B5" s="40" t="s">
        <v>53</v>
      </c>
      <c r="C5" s="43">
        <f>'F - FY 17-18 Alloc and Realloc'!J6</f>
        <v>-7181529.4554033279</v>
      </c>
      <c r="D5" s="43">
        <f>'F - FY 17-18 Alloc and Realloc'!W6</f>
        <v>6603513.7782746814</v>
      </c>
      <c r="E5" s="43">
        <f>'F - FY 17-18 Alloc and Realloc'!T6</f>
        <v>8962703.7235488556</v>
      </c>
      <c r="F5" s="43">
        <f>'F - FY 17-18 Alloc and Realloc'!N6</f>
        <v>-2331093.1644101236</v>
      </c>
      <c r="G5" s="43">
        <f>'F - FY 17-18 Alloc and Realloc'!X6</f>
        <v>-5935117.4015014311</v>
      </c>
      <c r="H5" s="43">
        <f>'F - FY 17-18 Alloc and Realloc'!U6</f>
        <v>0</v>
      </c>
      <c r="I5" s="43">
        <f>'F - FY 17-18 Alloc and Realloc'!R6</f>
        <v>0</v>
      </c>
      <c r="J5" s="43">
        <f>'F - FY 17-18 Alloc and Realloc'!AB6</f>
        <v>-13183.574330919786</v>
      </c>
      <c r="K5" s="45">
        <f>SUM(C5:J5)</f>
        <v>105293.90617773459</v>
      </c>
      <c r="L5" s="127">
        <v>4.4059490350507255E-3</v>
      </c>
      <c r="M5" s="11"/>
      <c r="N5" s="256">
        <f>SUM(R5:T5)</f>
        <v>-1669543.0484032242</v>
      </c>
      <c r="O5" s="11">
        <f>K5-N5</f>
        <v>1774836.9545809587</v>
      </c>
      <c r="P5" s="95"/>
      <c r="R5">
        <v>-1650878.4445686687</v>
      </c>
      <c r="S5">
        <v>0</v>
      </c>
      <c r="T5">
        <v>-18664.603834555386</v>
      </c>
    </row>
    <row r="6" spans="1:20" ht="15.75" x14ac:dyDescent="0.5">
      <c r="A6" s="19">
        <v>1</v>
      </c>
      <c r="B6" s="40" t="s">
        <v>4</v>
      </c>
      <c r="C6" s="43">
        <f>'F - FY 17-18 Alloc and Realloc'!J7</f>
        <v>-147406.9834022845</v>
      </c>
      <c r="D6" s="43">
        <f>'F - FY 17-18 Alloc and Realloc'!W7</f>
        <v>121523.41576533408</v>
      </c>
      <c r="E6" s="43">
        <f>'F - FY 17-18 Alloc and Realloc'!T7</f>
        <v>41763.730678170497</v>
      </c>
      <c r="F6" s="43">
        <f>'F - FY 17-18 Alloc and Realloc'!N7</f>
        <v>-47847.664418732675</v>
      </c>
      <c r="G6" s="43">
        <f>'F - FY 17-18 Alloc and Realloc'!X7</f>
        <v>9003.5328113854284</v>
      </c>
      <c r="H6" s="43">
        <f>'F - FY 17-18 Alloc and Realloc'!U7</f>
        <v>0</v>
      </c>
      <c r="I6" s="43">
        <f>'F - FY 17-18 Alloc and Realloc'!R7</f>
        <v>0</v>
      </c>
      <c r="J6" s="43">
        <f>'F - FY 17-18 Alloc and Realloc'!AB7</f>
        <v>11128.0791461271</v>
      </c>
      <c r="K6" s="45">
        <f t="shared" ref="K6:K62" si="0">SUM(C6:J6)</f>
        <v>-11835.889420000072</v>
      </c>
      <c r="L6" s="263">
        <v>-7.9019933534165785E-3</v>
      </c>
      <c r="M6" s="20"/>
      <c r="N6" s="256">
        <f t="shared" ref="N6:N62" si="1">SUM(R6:T6)</f>
        <v>-3.2741809263825417E-11</v>
      </c>
      <c r="O6" s="20">
        <f t="shared" ref="O6:O62" si="2">K6-N6</f>
        <v>-11835.88942000004</v>
      </c>
      <c r="P6" s="95"/>
      <c r="R6">
        <v>-30380.853941333513</v>
      </c>
      <c r="S6">
        <v>0</v>
      </c>
      <c r="T6">
        <v>30380.85394133348</v>
      </c>
    </row>
    <row r="7" spans="1:20" ht="15.75" x14ac:dyDescent="0.5">
      <c r="A7" s="19">
        <v>1</v>
      </c>
      <c r="B7" s="40" t="s">
        <v>5</v>
      </c>
      <c r="C7" s="43">
        <f>'F - FY 17-18 Alloc and Realloc'!J8</f>
        <v>-173413.39182791591</v>
      </c>
      <c r="D7" s="43">
        <f>'F - FY 17-18 Alloc and Realloc'!W8</f>
        <v>115508.8876549775</v>
      </c>
      <c r="E7" s="43">
        <f>'F - FY 17-18 Alloc and Realloc'!T8</f>
        <v>281369.98559946922</v>
      </c>
      <c r="F7" s="43">
        <f>'F - FY 17-18 Alloc and Realloc'!N8</f>
        <v>-56289.23125882051</v>
      </c>
      <c r="G7" s="43">
        <f>'F - FY 17-18 Alloc and Realloc'!X8</f>
        <v>-243925.01298388245</v>
      </c>
      <c r="H7" s="43">
        <f>'F - FY 17-18 Alloc and Realloc'!U8</f>
        <v>0</v>
      </c>
      <c r="I7" s="43">
        <f>'F - FY 17-18 Alloc and Realloc'!R8</f>
        <v>0</v>
      </c>
      <c r="J7" s="43">
        <f>'F - FY 17-18 Alloc and Realloc'!AB8</f>
        <v>-415.14105228305215</v>
      </c>
      <c r="K7" s="45">
        <f t="shared" si="0"/>
        <v>-77163.903868455207</v>
      </c>
      <c r="L7" s="263">
        <v>-1.0284391916463791E-2</v>
      </c>
      <c r="M7" s="20"/>
      <c r="N7" s="256">
        <f t="shared" si="1"/>
        <v>-29485.033107394021</v>
      </c>
      <c r="O7" s="20">
        <f t="shared" si="2"/>
        <v>-47678.870761061189</v>
      </c>
      <c r="P7" s="95"/>
      <c r="R7">
        <v>-28877.221913744324</v>
      </c>
      <c r="S7">
        <v>0</v>
      </c>
      <c r="T7">
        <v>-607.81119364969686</v>
      </c>
    </row>
    <row r="8" spans="1:20" ht="15.75" x14ac:dyDescent="0.5">
      <c r="A8" s="19">
        <v>2</v>
      </c>
      <c r="B8" s="40" t="s">
        <v>19</v>
      </c>
      <c r="C8" s="43">
        <f>'F - FY 17-18 Alloc and Realloc'!J9</f>
        <v>316996.12636432191</v>
      </c>
      <c r="D8" s="43">
        <f>'F - FY 17-18 Alloc and Realloc'!W9</f>
        <v>-309051.36594614387</v>
      </c>
      <c r="E8" s="43">
        <f>'F - FY 17-18 Alloc and Realloc'!T9</f>
        <v>1285691.3204410886</v>
      </c>
      <c r="F8" s="43">
        <f>'F - FY 17-18 Alloc and Realloc'!N9</f>
        <v>102895.561161611</v>
      </c>
      <c r="G8" s="43">
        <f>'F - FY 17-18 Alloc and Realloc'!X9</f>
        <v>-1433587.5756615116</v>
      </c>
      <c r="H8" s="43">
        <f>'F - FY 17-18 Alloc and Realloc'!U9</f>
        <v>0</v>
      </c>
      <c r="I8" s="43">
        <f>'F - FY 17-18 Alloc and Realloc'!R9</f>
        <v>0</v>
      </c>
      <c r="J8" s="43">
        <f>'F - FY 17-18 Alloc and Realloc'!AB9</f>
        <v>-1746.5014291677401</v>
      </c>
      <c r="K8" s="45">
        <f t="shared" si="0"/>
        <v>-38802.435069801686</v>
      </c>
      <c r="L8" s="263">
        <v>-1.0035537826904122E-2</v>
      </c>
      <c r="M8" s="20"/>
      <c r="N8" s="256">
        <f t="shared" si="1"/>
        <v>74720.533039633301</v>
      </c>
      <c r="O8" s="20">
        <f t="shared" si="2"/>
        <v>-113522.96810943499</v>
      </c>
      <c r="P8" s="95"/>
      <c r="R8">
        <v>77262.841486536083</v>
      </c>
      <c r="S8">
        <v>0</v>
      </c>
      <c r="T8">
        <v>-2542.3084469027826</v>
      </c>
    </row>
    <row r="9" spans="1:20" ht="15.75" x14ac:dyDescent="0.5">
      <c r="A9" s="19">
        <v>1</v>
      </c>
      <c r="B9" s="40" t="s">
        <v>6</v>
      </c>
      <c r="C9" s="43">
        <f>'F - FY 17-18 Alloc and Realloc'!J10</f>
        <v>-189078.42472100991</v>
      </c>
      <c r="D9" s="43">
        <f>'F - FY 17-18 Alloc and Realloc'!W10</f>
        <v>103605.59144677047</v>
      </c>
      <c r="E9" s="43">
        <f>'F - FY 17-18 Alloc and Realloc'!T10</f>
        <v>255251.40911550925</v>
      </c>
      <c r="F9" s="43">
        <f>'F - FY 17-18 Alloc and Realloc'!N10</f>
        <v>-61374.032668341475</v>
      </c>
      <c r="G9" s="43">
        <f>'F - FY 17-18 Alloc and Realloc'!X10</f>
        <v>-232550.63309719949</v>
      </c>
      <c r="H9" s="43">
        <f>'F - FY 17-18 Alloc and Realloc'!U10</f>
        <v>0</v>
      </c>
      <c r="I9" s="43">
        <f>'F - FY 17-18 Alloc and Realloc'!R10</f>
        <v>0</v>
      </c>
      <c r="J9" s="43">
        <f>'F - FY 17-18 Alloc and Realloc'!AB10</f>
        <v>-386.37328412153568</v>
      </c>
      <c r="K9" s="45">
        <f t="shared" si="0"/>
        <v>-124532.4632083927</v>
      </c>
      <c r="L9" s="263">
        <v>4.566726800995629E-2</v>
      </c>
      <c r="M9" s="20"/>
      <c r="N9" s="256">
        <f t="shared" si="1"/>
        <v>-26481.395200555984</v>
      </c>
      <c r="O9" s="20">
        <f t="shared" si="2"/>
        <v>-98051.068007836715</v>
      </c>
      <c r="P9" s="95"/>
      <c r="R9">
        <v>-25901.397861692571</v>
      </c>
      <c r="S9">
        <v>0</v>
      </c>
      <c r="T9">
        <v>-579.99733886341414</v>
      </c>
    </row>
    <row r="10" spans="1:20" ht="15.75" x14ac:dyDescent="0.5">
      <c r="A10" s="19">
        <v>1</v>
      </c>
      <c r="B10" s="40" t="s">
        <v>7</v>
      </c>
      <c r="C10" s="43">
        <f>'F - FY 17-18 Alloc and Realloc'!J11</f>
        <v>-88104.951012714533</v>
      </c>
      <c r="D10" s="43">
        <f>'F - FY 17-18 Alloc and Realloc'!W11</f>
        <v>95668.006663343345</v>
      </c>
      <c r="E10" s="43">
        <f>'F - FY 17-18 Alloc and Realloc'!T11</f>
        <v>193474.00218519097</v>
      </c>
      <c r="F10" s="43">
        <f>'F - FY 17-18 Alloc and Realloc'!N11</f>
        <v>-28598.48314092771</v>
      </c>
      <c r="G10" s="43">
        <f>'F - FY 17-18 Alloc and Realloc'!X11</f>
        <v>-144438.94021203788</v>
      </c>
      <c r="H10" s="43">
        <f>'F - FY 17-18 Alloc and Realloc'!U11</f>
        <v>0</v>
      </c>
      <c r="I10" s="43">
        <f>'F - FY 17-18 Alloc and Realloc'!R11</f>
        <v>0</v>
      </c>
      <c r="J10" s="43">
        <f>'F - FY 17-18 Alloc and Realloc'!AB11</f>
        <v>-356.42714463897295</v>
      </c>
      <c r="K10" s="45">
        <f t="shared" si="0"/>
        <v>27643.207338215219</v>
      </c>
      <c r="L10" s="263">
        <v>0.23699969932652282</v>
      </c>
      <c r="M10" s="20"/>
      <c r="N10" s="256">
        <f t="shared" si="1"/>
        <v>-6.9121597334742546E-11</v>
      </c>
      <c r="O10" s="20">
        <f t="shared" si="2"/>
        <v>27643.207338215288</v>
      </c>
      <c r="P10" s="95"/>
      <c r="R10">
        <v>-23917.001665835804</v>
      </c>
      <c r="S10">
        <v>0</v>
      </c>
      <c r="T10">
        <v>23917.001665835734</v>
      </c>
    </row>
    <row r="11" spans="1:20" ht="15.75" x14ac:dyDescent="0.5">
      <c r="A11" s="19">
        <v>3</v>
      </c>
      <c r="B11" s="40" t="s">
        <v>41</v>
      </c>
      <c r="C11" s="43">
        <f>'F - FY 17-18 Alloc and Realloc'!J12</f>
        <v>62956.585049787536</v>
      </c>
      <c r="D11" s="43">
        <f>'F - FY 17-18 Alloc and Realloc'!W12</f>
        <v>598907.09574486502</v>
      </c>
      <c r="E11" s="43">
        <f>'F - FY 17-18 Alloc and Realloc'!T12</f>
        <v>5361082.1645825449</v>
      </c>
      <c r="F11" s="43">
        <f>'F - FY 17-18 Alloc and Realloc'!N12</f>
        <v>20435.433144920506</v>
      </c>
      <c r="G11" s="43">
        <f>'F - FY 17-18 Alloc and Realloc'!X12</f>
        <v>-4854640.1482726876</v>
      </c>
      <c r="H11" s="43">
        <f>'F - FY 17-18 Alloc and Realloc'!U12</f>
        <v>0</v>
      </c>
      <c r="I11" s="43">
        <f>'F - FY 17-18 Alloc and Realloc'!R12</f>
        <v>0</v>
      </c>
      <c r="J11" s="43">
        <f>'F - FY 17-18 Alloc and Realloc'!AB12</f>
        <v>-7228.4953000567593</v>
      </c>
      <c r="K11" s="45">
        <f t="shared" si="0"/>
        <v>1181512.6349493738</v>
      </c>
      <c r="L11" s="127">
        <v>-0.10823218997974593</v>
      </c>
      <c r="M11" s="11"/>
      <c r="N11" s="256">
        <f t="shared" si="1"/>
        <v>-159795.71976906332</v>
      </c>
      <c r="O11" s="11">
        <f t="shared" si="2"/>
        <v>1341308.3547184372</v>
      </c>
      <c r="P11" s="95"/>
      <c r="R11">
        <v>-149726.77393621547</v>
      </c>
      <c r="S11">
        <v>0</v>
      </c>
      <c r="T11">
        <v>-10068.945832847858</v>
      </c>
    </row>
    <row r="12" spans="1:20" ht="15.75" x14ac:dyDescent="0.5">
      <c r="A12" s="19">
        <v>1</v>
      </c>
      <c r="B12" s="40" t="s">
        <v>8</v>
      </c>
      <c r="C12" s="43">
        <f>'F - FY 17-18 Alloc and Realloc'!J13</f>
        <v>-202523.18449113599</v>
      </c>
      <c r="D12" s="43">
        <f>'F - FY 17-18 Alloc and Realloc'!W13</f>
        <v>96152.36252394761</v>
      </c>
      <c r="E12" s="43">
        <f>'F - FY 17-18 Alloc and Realloc'!T13</f>
        <v>291693.719937941</v>
      </c>
      <c r="F12" s="43">
        <f>'F - FY 17-18 Alloc and Realloc'!N13</f>
        <v>-65738.143098007247</v>
      </c>
      <c r="G12" s="43">
        <f>'F - FY 17-18 Alloc and Realloc'!X13</f>
        <v>-279405.26841799513</v>
      </c>
      <c r="H12" s="43">
        <f>'F - FY 17-18 Alloc and Realloc'!U13</f>
        <v>0</v>
      </c>
      <c r="I12" s="43">
        <f>'F - FY 17-18 Alloc and Realloc'!R13</f>
        <v>0</v>
      </c>
      <c r="J12" s="43">
        <f>'F - FY 17-18 Alloc and Realloc'!AB13</f>
        <v>-467.91355153990361</v>
      </c>
      <c r="K12" s="45">
        <f t="shared" si="0"/>
        <v>-160288.42709678967</v>
      </c>
      <c r="L12" s="263">
        <v>-2.903257270474556E-2</v>
      </c>
      <c r="M12" s="20"/>
      <c r="N12" s="256">
        <f t="shared" si="1"/>
        <v>-24710.601793036454</v>
      </c>
      <c r="O12" s="20">
        <f t="shared" si="2"/>
        <v>-135577.82530375323</v>
      </c>
      <c r="P12" s="95"/>
      <c r="R12">
        <v>-24038.09063098687</v>
      </c>
      <c r="S12">
        <v>0</v>
      </c>
      <c r="T12">
        <v>-672.51116204958316</v>
      </c>
    </row>
    <row r="13" spans="1:20" ht="15.75" x14ac:dyDescent="0.5">
      <c r="A13" s="19">
        <v>2</v>
      </c>
      <c r="B13" s="40" t="s">
        <v>20</v>
      </c>
      <c r="C13" s="43">
        <f>'F - FY 17-18 Alloc and Realloc'!J14</f>
        <v>-286650.75469828164</v>
      </c>
      <c r="D13" s="43">
        <f>'F - FY 17-18 Alloc and Realloc'!W14</f>
        <v>202552.00063672755</v>
      </c>
      <c r="E13" s="43">
        <f>'F - FY 17-18 Alloc and Realloc'!T14</f>
        <v>861411.79906012455</v>
      </c>
      <c r="F13" s="43">
        <f>'F - FY 17-18 Alloc and Realloc'!N14</f>
        <v>-93045.585762711125</v>
      </c>
      <c r="G13" s="43">
        <f>'F - FY 17-18 Alloc and Realloc'!X14</f>
        <v>-790088.64308962005</v>
      </c>
      <c r="H13" s="43">
        <f>'F - FY 17-18 Alloc and Realloc'!U14</f>
        <v>0</v>
      </c>
      <c r="I13" s="43">
        <f>'F - FY 17-18 Alloc and Realloc'!R14</f>
        <v>0</v>
      </c>
      <c r="J13" s="43">
        <f>'F - FY 17-18 Alloc and Realloc'!AB14</f>
        <v>-1202.1133431066139</v>
      </c>
      <c r="K13" s="45">
        <f t="shared" si="0"/>
        <v>-107023.29719686732</v>
      </c>
      <c r="L13" s="263">
        <v>7.5894498069962804E-2</v>
      </c>
      <c r="M13" s="20"/>
      <c r="N13" s="256">
        <f t="shared" si="1"/>
        <v>-52382.63307244343</v>
      </c>
      <c r="O13" s="20">
        <f t="shared" si="2"/>
        <v>-54640.664124423893</v>
      </c>
      <c r="P13" s="95"/>
      <c r="R13">
        <v>-50638.000159181691</v>
      </c>
      <c r="S13">
        <v>0</v>
      </c>
      <c r="T13">
        <v>-1744.6329132617375</v>
      </c>
    </row>
    <row r="14" spans="1:20" ht="15.75" x14ac:dyDescent="0.5">
      <c r="A14" s="19">
        <v>3</v>
      </c>
      <c r="B14" s="40" t="s">
        <v>42</v>
      </c>
      <c r="C14" s="43">
        <f>'F - FY 17-18 Alloc and Realloc'!J15</f>
        <v>2950881.3657520376</v>
      </c>
      <c r="D14" s="43">
        <f>'F - FY 17-18 Alloc and Realloc'!W15</f>
        <v>-3000304.29774924</v>
      </c>
      <c r="E14" s="43">
        <f>'F - FY 17-18 Alloc and Realloc'!T15</f>
        <v>6550013.3188177142</v>
      </c>
      <c r="F14" s="43">
        <f>'F - FY 17-18 Alloc and Realloc'!N15</f>
        <v>957843.23150192853</v>
      </c>
      <c r="G14" s="43">
        <f>'F - FY 17-18 Alloc and Realloc'!X15</f>
        <v>-8026884.3369285092</v>
      </c>
      <c r="H14" s="43">
        <f>'F - FY 17-18 Alloc and Realloc'!U15</f>
        <v>0</v>
      </c>
      <c r="I14" s="43">
        <f>'F - FY 17-18 Alloc and Realloc'!R15</f>
        <v>0</v>
      </c>
      <c r="J14" s="43">
        <f>'F - FY 17-18 Alloc and Realloc'!AB15</f>
        <v>-8671.502925864017</v>
      </c>
      <c r="K14" s="45">
        <f t="shared" si="0"/>
        <v>-577122.22153193282</v>
      </c>
      <c r="L14" s="265">
        <v>6.5027806027749394E-2</v>
      </c>
      <c r="M14" s="11"/>
      <c r="N14" s="267">
        <f t="shared" si="1"/>
        <v>737115.32774011896</v>
      </c>
      <c r="O14" s="268">
        <f t="shared" si="2"/>
        <v>-1314237.5492720518</v>
      </c>
      <c r="P14" s="95"/>
      <c r="R14">
        <v>750076.0744373108</v>
      </c>
      <c r="S14">
        <v>0</v>
      </c>
      <c r="T14">
        <v>-12960.746697191882</v>
      </c>
    </row>
    <row r="15" spans="1:20" ht="15.75" x14ac:dyDescent="0.5">
      <c r="A15" s="19">
        <v>1</v>
      </c>
      <c r="B15" s="40" t="s">
        <v>9</v>
      </c>
      <c r="C15" s="43">
        <f>'F - FY 17-18 Alloc and Realloc'!J16</f>
        <v>-285231.51895843202</v>
      </c>
      <c r="D15" s="43">
        <f>'F - FY 17-18 Alloc and Realloc'!W16</f>
        <v>254350.4737623168</v>
      </c>
      <c r="E15" s="43">
        <f>'F - FY 17-18 Alloc and Realloc'!T16</f>
        <v>201451.15149666884</v>
      </c>
      <c r="F15" s="43">
        <f>'F - FY 17-18 Alloc and Realloc'!N16</f>
        <v>-92584.908026527934</v>
      </c>
      <c r="G15" s="43">
        <f>'F - FY 17-18 Alloc and Realloc'!X16</f>
        <v>-87633.4211876716</v>
      </c>
      <c r="H15" s="43">
        <f>'F - FY 17-18 Alloc and Realloc'!U16</f>
        <v>0</v>
      </c>
      <c r="I15" s="43">
        <f>'F - FY 17-18 Alloc and Realloc'!R16</f>
        <v>0</v>
      </c>
      <c r="J15" s="43">
        <f>'F - FY 17-18 Alloc and Realloc'!AB16</f>
        <v>-354.48793917919608</v>
      </c>
      <c r="K15" s="45">
        <f t="shared" si="0"/>
        <v>-10002.710852825103</v>
      </c>
      <c r="L15" s="263">
        <v>0.20483979066230884</v>
      </c>
      <c r="M15" s="11"/>
      <c r="N15" s="256">
        <f t="shared" si="1"/>
        <v>0</v>
      </c>
      <c r="O15" s="20">
        <f t="shared" si="2"/>
        <v>-10002.710852825103</v>
      </c>
      <c r="P15" s="95"/>
      <c r="R15">
        <v>-63587.618440579165</v>
      </c>
      <c r="S15">
        <v>0</v>
      </c>
      <c r="T15">
        <v>63587.618440579157</v>
      </c>
    </row>
    <row r="16" spans="1:20" ht="15.75" x14ac:dyDescent="0.5">
      <c r="A16" s="19">
        <v>2</v>
      </c>
      <c r="B16" s="40" t="s">
        <v>21</v>
      </c>
      <c r="C16" s="43">
        <f>'F - FY 17-18 Alloc and Realloc'!J17</f>
        <v>-35200.093224097043</v>
      </c>
      <c r="D16" s="43">
        <f>'F - FY 17-18 Alloc and Realloc'!W17</f>
        <v>22974.574916241225</v>
      </c>
      <c r="E16" s="43">
        <f>'F - FY 17-18 Alloc and Realloc'!T17</f>
        <v>801027.49695549684</v>
      </c>
      <c r="F16" s="43">
        <f>'F - FY 17-18 Alloc and Realloc'!N17</f>
        <v>-11425.796859964496</v>
      </c>
      <c r="G16" s="43">
        <f>'F - FY 17-18 Alloc and Realloc'!X17</f>
        <v>-793809.67657659389</v>
      </c>
      <c r="H16" s="43">
        <f>'F - FY 17-18 Alloc and Realloc'!U17</f>
        <v>0</v>
      </c>
      <c r="I16" s="43">
        <f>'F - FY 17-18 Alloc and Realloc'!R17</f>
        <v>0</v>
      </c>
      <c r="J16" s="43">
        <f>'F - FY 17-18 Alloc and Realloc'!AB17</f>
        <v>-1123.6026630499355</v>
      </c>
      <c r="K16" s="45">
        <f t="shared" si="0"/>
        <v>-17557.0974519673</v>
      </c>
      <c r="L16" s="263">
        <v>0.17877599158015109</v>
      </c>
      <c r="M16" s="11"/>
      <c r="N16" s="256">
        <f t="shared" si="1"/>
        <v>-7348.1203437644399</v>
      </c>
      <c r="O16" s="20">
        <f t="shared" si="2"/>
        <v>-10208.97710820286</v>
      </c>
      <c r="P16" s="95"/>
      <c r="R16">
        <v>-5743.6437290602044</v>
      </c>
      <c r="S16">
        <v>0</v>
      </c>
      <c r="T16">
        <v>-1604.4766147042351</v>
      </c>
    </row>
    <row r="17" spans="1:20" ht="15.75" x14ac:dyDescent="0.5">
      <c r="A17" s="19">
        <v>2</v>
      </c>
      <c r="B17" s="40" t="s">
        <v>22</v>
      </c>
      <c r="C17" s="43">
        <f>'F - FY 17-18 Alloc and Realloc'!J18</f>
        <v>327532.23340068059</v>
      </c>
      <c r="D17" s="43">
        <f>'F - FY 17-18 Alloc and Realloc'!W18</f>
        <v>-279110.21673267381</v>
      </c>
      <c r="E17" s="43">
        <f>'F - FY 17-18 Alloc and Realloc'!T18</f>
        <v>1127864.4151788231</v>
      </c>
      <c r="F17" s="43">
        <f>'F - FY 17-18 Alloc and Realloc'!N18</f>
        <v>106315.53558968625</v>
      </c>
      <c r="G17" s="43">
        <f>'F - FY 17-18 Alloc and Realloc'!X18</f>
        <v>-1248043.7795902211</v>
      </c>
      <c r="H17" s="43">
        <f>'F - FY 17-18 Alloc and Realloc'!U18</f>
        <v>0</v>
      </c>
      <c r="I17" s="43">
        <f>'F - FY 17-18 Alloc and Realloc'!R18</f>
        <v>0</v>
      </c>
      <c r="J17" s="43">
        <f>'F - FY 17-18 Alloc and Realloc'!AB18</f>
        <v>-1499.6117103063198</v>
      </c>
      <c r="K17" s="45">
        <f t="shared" si="0"/>
        <v>33058.576135988747</v>
      </c>
      <c r="L17" s="263">
        <v>5.1123669262720467E-2</v>
      </c>
      <c r="M17" s="11"/>
      <c r="N17" s="256">
        <f t="shared" si="1"/>
        <v>67592.917479868396</v>
      </c>
      <c r="O17" s="20">
        <f t="shared" si="2"/>
        <v>-34534.341343879649</v>
      </c>
      <c r="P17" s="95"/>
      <c r="R17">
        <v>69777.55418316854</v>
      </c>
      <c r="S17">
        <v>0</v>
      </c>
      <c r="T17">
        <v>-2184.6367033001393</v>
      </c>
    </row>
    <row r="18" spans="1:20" ht="15.75" x14ac:dyDescent="0.5">
      <c r="A18" s="19">
        <v>1</v>
      </c>
      <c r="B18" s="40" t="s">
        <v>10</v>
      </c>
      <c r="C18" s="43">
        <f>'F - FY 17-18 Alloc and Realloc'!J19</f>
        <v>-239066.76401311788</v>
      </c>
      <c r="D18" s="43">
        <f>'F - FY 17-18 Alloc and Realloc'!W19</f>
        <v>209432.1001362353</v>
      </c>
      <c r="E18" s="43">
        <f>'F - FY 17-18 Alloc and Realloc'!T19</f>
        <v>201951.66871613121</v>
      </c>
      <c r="F18" s="43">
        <f>'F - FY 17-18 Alloc and Realloc'!N19</f>
        <v>-77600.029755406635</v>
      </c>
      <c r="G18" s="43">
        <f>'F - FY 17-18 Alloc and Realloc'!X19</f>
        <v>-109599.83095245642</v>
      </c>
      <c r="H18" s="43">
        <f>'F - FY 17-18 Alloc and Realloc'!U19</f>
        <v>0</v>
      </c>
      <c r="I18" s="43">
        <f>'F - FY 17-18 Alloc and Realloc'!R19</f>
        <v>0</v>
      </c>
      <c r="J18" s="43">
        <f>'F - FY 17-18 Alloc and Realloc'!AB19</f>
        <v>-349.59959709037037</v>
      </c>
      <c r="K18" s="45">
        <f t="shared" si="0"/>
        <v>-15232.455465704794</v>
      </c>
      <c r="L18" s="263">
        <v>5.4862970861327541E-2</v>
      </c>
      <c r="M18" s="11"/>
      <c r="N18" s="256">
        <f t="shared" si="1"/>
        <v>-6075.993774997507</v>
      </c>
      <c r="O18" s="20">
        <f t="shared" si="2"/>
        <v>-9156.4616907072868</v>
      </c>
      <c r="P18" s="95"/>
      <c r="R18">
        <v>-52358.02503405881</v>
      </c>
      <c r="S18">
        <v>0</v>
      </c>
      <c r="T18">
        <v>46282.031259061303</v>
      </c>
    </row>
    <row r="19" spans="1:20" ht="15.75" x14ac:dyDescent="0.5">
      <c r="A19" s="19">
        <v>3</v>
      </c>
      <c r="B19" s="40" t="s">
        <v>43</v>
      </c>
      <c r="C19" s="43">
        <f>'F - FY 17-18 Alloc and Realloc'!J20</f>
        <v>6733781.2923249919</v>
      </c>
      <c r="D19" s="43">
        <f>'F - FY 17-18 Alloc and Realloc'!W20</f>
        <v>-5678720.7958341632</v>
      </c>
      <c r="E19" s="43">
        <f>'F - FY 17-18 Alloc and Realloc'!T20</f>
        <v>6856977.1943678148</v>
      </c>
      <c r="F19" s="43">
        <f>'F - FY 17-18 Alloc and Realloc'!N20</f>
        <v>2185756.0619432172</v>
      </c>
      <c r="G19" s="43">
        <f>'F - FY 17-18 Alloc and Realloc'!X20</f>
        <v>-9279441.1891573537</v>
      </c>
      <c r="H19" s="43">
        <f>'F - FY 17-18 Alloc and Realloc'!U20</f>
        <v>0</v>
      </c>
      <c r="I19" s="43">
        <f>'F - FY 17-18 Alloc and Realloc'!R20</f>
        <v>0</v>
      </c>
      <c r="J19" s="43">
        <f>'F - FY 17-18 Alloc and Realloc'!AB20</f>
        <v>-8309.3352856486399</v>
      </c>
      <c r="K19" s="45">
        <f t="shared" si="0"/>
        <v>810043.22835885931</v>
      </c>
      <c r="L19" s="265">
        <v>-6.0480434405061255E-2</v>
      </c>
      <c r="M19" s="11"/>
      <c r="N19" s="267">
        <f t="shared" si="1"/>
        <v>1407264.3825675305</v>
      </c>
      <c r="O19" s="268">
        <f t="shared" si="2"/>
        <v>-597221.15420867119</v>
      </c>
      <c r="P19" s="95"/>
      <c r="R19">
        <v>1419680.1989585417</v>
      </c>
      <c r="S19">
        <v>0</v>
      </c>
      <c r="T19">
        <v>-12415.816391011205</v>
      </c>
    </row>
    <row r="20" spans="1:20" ht="15.75" x14ac:dyDescent="0.5">
      <c r="A20" s="19">
        <v>2</v>
      </c>
      <c r="B20" s="40" t="s">
        <v>23</v>
      </c>
      <c r="C20" s="43">
        <f>'F - FY 17-18 Alloc and Realloc'!J21</f>
        <v>485525.60142713832</v>
      </c>
      <c r="D20" s="43">
        <f>'F - FY 17-18 Alloc and Realloc'!W21</f>
        <v>-334835.00495630782</v>
      </c>
      <c r="E20" s="43">
        <f>'F - FY 17-18 Alloc and Realloc'!T21</f>
        <v>931031.36086044461</v>
      </c>
      <c r="F20" s="43">
        <f>'F - FY 17-18 Alloc and Realloc'!N21</f>
        <v>157599.49432239099</v>
      </c>
      <c r="G20" s="43">
        <f>'F - FY 17-18 Alloc and Realloc'!X21</f>
        <v>-1045146.8250667055</v>
      </c>
      <c r="H20" s="43">
        <f>'F - FY 17-18 Alloc and Realloc'!U21</f>
        <v>0</v>
      </c>
      <c r="I20" s="43">
        <f>'F - FY 17-18 Alloc and Realloc'!R21</f>
        <v>0</v>
      </c>
      <c r="J20" s="43">
        <f>'F - FY 17-18 Alloc and Realloc'!AB21</f>
        <v>-1195.8538936081193</v>
      </c>
      <c r="K20" s="45">
        <f t="shared" si="0"/>
        <v>192978.77269335251</v>
      </c>
      <c r="L20" s="263">
        <v>-2.9566497783486197E-2</v>
      </c>
      <c r="M20" s="11"/>
      <c r="N20" s="256">
        <f t="shared" si="1"/>
        <v>82035.361094100997</v>
      </c>
      <c r="O20" s="20">
        <f t="shared" si="2"/>
        <v>110943.41159925151</v>
      </c>
      <c r="P20" s="95"/>
      <c r="R20">
        <v>83708.751239077101</v>
      </c>
      <c r="S20">
        <v>0</v>
      </c>
      <c r="T20">
        <v>-1673.3901449761076</v>
      </c>
    </row>
    <row r="21" spans="1:20" ht="15.75" x14ac:dyDescent="0.5">
      <c r="A21" s="19">
        <v>2</v>
      </c>
      <c r="B21" s="40" t="s">
        <v>24</v>
      </c>
      <c r="C21" s="43">
        <f>'F - FY 17-18 Alloc and Realloc'!J22</f>
        <v>-191183.58391384501</v>
      </c>
      <c r="D21" s="43">
        <f>'F - FY 17-18 Alloc and Realloc'!W22</f>
        <v>192865.44295654993</v>
      </c>
      <c r="E21" s="43">
        <f>'F - FY 17-18 Alloc and Realloc'!T22</f>
        <v>409210.09341733856</v>
      </c>
      <c r="F21" s="43">
        <f>'F - FY 17-18 Alloc and Realloc'!N22</f>
        <v>-62057.358168137434</v>
      </c>
      <c r="G21" s="43">
        <f>'F - FY 17-18 Alloc and Realloc'!X22</f>
        <v>-314759.24587566091</v>
      </c>
      <c r="H21" s="43">
        <f>'F - FY 17-18 Alloc and Realloc'!U22</f>
        <v>0</v>
      </c>
      <c r="I21" s="43">
        <f>'F - FY 17-18 Alloc and Realloc'!R22</f>
        <v>0</v>
      </c>
      <c r="J21" s="43">
        <f>'F - FY 17-18 Alloc and Realloc'!AB22</f>
        <v>-591.20821460891727</v>
      </c>
      <c r="K21" s="45">
        <f t="shared" si="0"/>
        <v>33484.140201636219</v>
      </c>
      <c r="L21" s="263">
        <v>0.14769966315721253</v>
      </c>
      <c r="M21" s="11"/>
      <c r="N21" s="256">
        <f t="shared" si="1"/>
        <v>-49037.297701765718</v>
      </c>
      <c r="O21" s="20">
        <f t="shared" si="2"/>
        <v>82521.437903401937</v>
      </c>
      <c r="P21" s="95"/>
      <c r="R21">
        <v>-48216.360739137468</v>
      </c>
      <c r="S21">
        <v>0</v>
      </c>
      <c r="T21">
        <v>-820.93696262825188</v>
      </c>
    </row>
    <row r="22" spans="1:20" ht="15.75" x14ac:dyDescent="0.5">
      <c r="A22" s="19">
        <v>1</v>
      </c>
      <c r="B22" s="40" t="s">
        <v>11</v>
      </c>
      <c r="C22" s="43">
        <f>'F - FY 17-18 Alloc and Realloc'!J23</f>
        <v>-278507.88515152654</v>
      </c>
      <c r="D22" s="43">
        <f>'F - FY 17-18 Alloc and Realloc'!W23</f>
        <v>133511.87297513988</v>
      </c>
      <c r="E22" s="43">
        <f>'F - FY 17-18 Alloc and Realloc'!T23</f>
        <v>216447.95532772481</v>
      </c>
      <c r="F22" s="43">
        <f>'F - FY 17-18 Alloc and Realloc'!N23</f>
        <v>-90402.445794129511</v>
      </c>
      <c r="G22" s="43">
        <f>'F - FY 17-18 Alloc and Realloc'!X23</f>
        <v>-198506.9708008329</v>
      </c>
      <c r="H22" s="43">
        <f>'F - FY 17-18 Alloc and Realloc'!U23</f>
        <v>0</v>
      </c>
      <c r="I22" s="43">
        <f>'F - FY 17-18 Alloc and Realloc'!R23</f>
        <v>0</v>
      </c>
      <c r="J22" s="43">
        <f>'F - FY 17-18 Alloc and Realloc'!AB23</f>
        <v>94309.838867491577</v>
      </c>
      <c r="K22" s="45">
        <f t="shared" si="0"/>
        <v>-123147.6345761327</v>
      </c>
      <c r="L22" s="263">
        <v>-2.6226656197640367E-2</v>
      </c>
      <c r="M22" s="11"/>
      <c r="N22" s="256">
        <f t="shared" si="1"/>
        <v>-33899.179489503957</v>
      </c>
      <c r="O22" s="20">
        <f t="shared" si="2"/>
        <v>-89248.455086628732</v>
      </c>
      <c r="P22" s="95"/>
      <c r="R22">
        <v>-33377.968243784941</v>
      </c>
      <c r="S22">
        <v>0</v>
      </c>
      <c r="T22">
        <v>-521.21124571901373</v>
      </c>
    </row>
    <row r="23" spans="1:20" ht="15.75" x14ac:dyDescent="0.5">
      <c r="A23" s="19">
        <v>4</v>
      </c>
      <c r="B23" s="40" t="s">
        <v>54</v>
      </c>
      <c r="C23" s="43">
        <f>'F - FY 17-18 Alloc and Realloc'!J24</f>
        <v>16842370.391278863</v>
      </c>
      <c r="D23" s="43">
        <f>'F - FY 17-18 Alloc and Realloc'!W24</f>
        <v>-14770787.259849995</v>
      </c>
      <c r="E23" s="43">
        <f>'F - FY 17-18 Alloc and Realloc'!T24</f>
        <v>69165959.780727625</v>
      </c>
      <c r="F23" s="43">
        <f>'F - FY 17-18 Alloc and Realloc'!N24</f>
        <v>5466960.0306427702</v>
      </c>
      <c r="G23" s="43">
        <f>'F - FY 17-18 Alloc and Realloc'!X24</f>
        <v>-75685332.685225248</v>
      </c>
      <c r="H23" s="43">
        <f>'F - FY 17-18 Alloc and Realloc'!U24</f>
        <v>0</v>
      </c>
      <c r="I23" s="43">
        <f>'F - FY 17-18 Alloc and Realloc'!R24</f>
        <v>0</v>
      </c>
      <c r="J23" s="43">
        <f>'F - FY 17-18 Alloc and Realloc'!AB24</f>
        <v>-92780.965737221617</v>
      </c>
      <c r="K23" s="45">
        <f t="shared" si="0"/>
        <v>926389.29183680017</v>
      </c>
      <c r="L23" s="265">
        <v>-7.0392342037143382E-2</v>
      </c>
      <c r="M23" s="11"/>
      <c r="N23" s="267">
        <f t="shared" si="1"/>
        <v>3558092.252123591</v>
      </c>
      <c r="O23" s="268">
        <f t="shared" si="2"/>
        <v>-2631702.960286791</v>
      </c>
      <c r="P23" s="95"/>
      <c r="R23">
        <v>3692696.8149625105</v>
      </c>
      <c r="S23">
        <v>0</v>
      </c>
      <c r="T23">
        <v>-134604.56283891929</v>
      </c>
    </row>
    <row r="24" spans="1:20" ht="15.75" x14ac:dyDescent="0.5">
      <c r="A24" s="19">
        <v>2</v>
      </c>
      <c r="B24" s="40" t="s">
        <v>25</v>
      </c>
      <c r="C24" s="43">
        <f>'F - FY 17-18 Alloc and Realloc'!J25</f>
        <v>-71648.512992647942</v>
      </c>
      <c r="D24" s="43">
        <f>'F - FY 17-18 Alloc and Realloc'!W25</f>
        <v>-45556.87729646638</v>
      </c>
      <c r="E24" s="43">
        <f>'F - FY 17-18 Alloc and Realloc'!T25</f>
        <v>942941.66645059432</v>
      </c>
      <c r="F24" s="43">
        <f>'F - FY 17-18 Alloc and Realloc'!N25</f>
        <v>-23256.7950761026</v>
      </c>
      <c r="G24" s="43">
        <f>'F - FY 17-18 Alloc and Realloc'!X25</f>
        <v>-1003167.3711152261</v>
      </c>
      <c r="H24" s="43">
        <f>'F - FY 17-18 Alloc and Realloc'!U25</f>
        <v>0</v>
      </c>
      <c r="I24" s="43">
        <f>'F - FY 17-18 Alloc and Realloc'!R25</f>
        <v>0</v>
      </c>
      <c r="J24" s="43">
        <f>'F - FY 17-18 Alloc and Realloc'!AB25</f>
        <v>-1336.8522538704601</v>
      </c>
      <c r="K24" s="45">
        <f t="shared" si="0"/>
        <v>-202024.74228371913</v>
      </c>
      <c r="L24" s="263">
        <v>-1.659853714388853E-2</v>
      </c>
      <c r="M24" s="11"/>
      <c r="N24" s="256">
        <f t="shared" si="1"/>
        <v>9406.3549402585031</v>
      </c>
      <c r="O24" s="20">
        <f t="shared" si="2"/>
        <v>-211431.09722397762</v>
      </c>
      <c r="P24" s="95"/>
      <c r="R24">
        <v>11389.21932411673</v>
      </c>
      <c r="S24">
        <v>0</v>
      </c>
      <c r="T24">
        <v>-1982.8643838582268</v>
      </c>
    </row>
    <row r="25" spans="1:20" ht="15.75" x14ac:dyDescent="0.5">
      <c r="A25" s="19">
        <v>2</v>
      </c>
      <c r="B25" s="40" t="s">
        <v>26</v>
      </c>
      <c r="C25" s="43">
        <f>'F - FY 17-18 Alloc and Realloc'!J26</f>
        <v>-2607123.0780128334</v>
      </c>
      <c r="D25" s="43">
        <f>'F - FY 17-18 Alloc and Realloc'!W26</f>
        <v>2130015.1424852279</v>
      </c>
      <c r="E25" s="43">
        <f>'F - FY 17-18 Alloc and Realloc'!T26</f>
        <v>1318596.9743649345</v>
      </c>
      <c r="F25" s="43">
        <f>'F - FY 17-18 Alloc and Realloc'!N26</f>
        <v>-846260.78938644193</v>
      </c>
      <c r="G25" s="43">
        <f>'F - FY 17-18 Alloc and Realloc'!X26</f>
        <v>-436373.68192339281</v>
      </c>
      <c r="H25" s="43">
        <f>'F - FY 17-18 Alloc and Realloc'!U26</f>
        <v>0</v>
      </c>
      <c r="I25" s="43">
        <f>'F - FY 17-18 Alloc and Realloc'!R26</f>
        <v>0</v>
      </c>
      <c r="J25" s="43">
        <f>'F - FY 17-18 Alloc and Realloc'!AB26</f>
        <v>-2190.6445579397218</v>
      </c>
      <c r="K25" s="45">
        <f t="shared" si="0"/>
        <v>-443336.07703044545</v>
      </c>
      <c r="L25" s="127">
        <v>-0.10286025618184959</v>
      </c>
      <c r="M25" s="20"/>
      <c r="N25" s="256">
        <f t="shared" si="1"/>
        <v>-535606.91482984892</v>
      </c>
      <c r="O25" s="20">
        <f t="shared" si="2"/>
        <v>92270.837799403467</v>
      </c>
      <c r="P25" s="95"/>
      <c r="R25">
        <v>-532503.78562130686</v>
      </c>
      <c r="S25">
        <v>0</v>
      </c>
      <c r="T25">
        <v>-3103.1292085420987</v>
      </c>
    </row>
    <row r="26" spans="1:20" ht="15.75" x14ac:dyDescent="0.5">
      <c r="A26" s="19">
        <v>1</v>
      </c>
      <c r="B26" s="40" t="s">
        <v>12</v>
      </c>
      <c r="C26" s="43">
        <f>'F - FY 17-18 Alloc and Realloc'!J27</f>
        <v>-71297.589433961199</v>
      </c>
      <c r="D26" s="43">
        <f>'F - FY 17-18 Alloc and Realloc'!W27</f>
        <v>68668.151779163745</v>
      </c>
      <c r="E26" s="43">
        <f>'F - FY 17-18 Alloc and Realloc'!T27</f>
        <v>126267.27988035286</v>
      </c>
      <c r="F26" s="43">
        <f>'F - FY 17-18 Alloc and Realloc'!N27</f>
        <v>-23142.886818263723</v>
      </c>
      <c r="G26" s="43">
        <f>'F - FY 17-18 Alloc and Realloc'!X27</f>
        <v>-93686.70966236903</v>
      </c>
      <c r="H26" s="43">
        <f>'F - FY 17-18 Alloc and Realloc'!U27</f>
        <v>0</v>
      </c>
      <c r="I26" s="43">
        <f>'F - FY 17-18 Alloc and Realloc'!R27</f>
        <v>0</v>
      </c>
      <c r="J26" s="43">
        <f>'F - FY 17-18 Alloc and Realloc'!AB27</f>
        <v>75746.644373414572</v>
      </c>
      <c r="K26" s="45">
        <f t="shared" si="0"/>
        <v>82554.890118337222</v>
      </c>
      <c r="L26" s="263">
        <v>0.18918723480067476</v>
      </c>
      <c r="M26" s="20"/>
      <c r="N26" s="256">
        <f t="shared" si="1"/>
        <v>-17465.446535526491</v>
      </c>
      <c r="O26" s="20">
        <f t="shared" si="2"/>
        <v>100020.33665386372</v>
      </c>
      <c r="P26" s="95"/>
      <c r="R26">
        <v>-17167.037944790918</v>
      </c>
      <c r="S26">
        <v>0</v>
      </c>
      <c r="T26">
        <v>-298.40859073557357</v>
      </c>
    </row>
    <row r="27" spans="1:20" ht="15.75" x14ac:dyDescent="0.5">
      <c r="A27" s="19">
        <v>2</v>
      </c>
      <c r="B27" s="40" t="s">
        <v>27</v>
      </c>
      <c r="C27" s="43">
        <f>'F - FY 17-18 Alloc and Realloc'!J28</f>
        <v>-140394.89408887108</v>
      </c>
      <c r="D27" s="43">
        <f>'F - FY 17-18 Alloc and Realloc'!W28</f>
        <v>113754.71970441821</v>
      </c>
      <c r="E27" s="43">
        <f>'F - FY 17-18 Alloc and Realloc'!T28</f>
        <v>665142.78769952105</v>
      </c>
      <c r="F27" s="43">
        <f>'F - FY 17-18 Alloc and Realloc'!N28</f>
        <v>-45571.570785999065</v>
      </c>
      <c r="G27" s="43">
        <f>'F - FY 17-18 Alloc and Realloc'!X28</f>
        <v>-618403.64279151021</v>
      </c>
      <c r="H27" s="43">
        <f>'F - FY 17-18 Alloc and Realloc'!U28</f>
        <v>0</v>
      </c>
      <c r="I27" s="43">
        <f>'F - FY 17-18 Alloc and Realloc'!R28</f>
        <v>0</v>
      </c>
      <c r="J27" s="43">
        <f>'F - FY 17-18 Alloc and Realloc'!AB28</f>
        <v>-959.03496234162424</v>
      </c>
      <c r="K27" s="45">
        <f t="shared" si="0"/>
        <v>-26431.635224782716</v>
      </c>
      <c r="L27" s="263">
        <v>9.870989470074957E-4</v>
      </c>
      <c r="M27" s="20"/>
      <c r="N27" s="256">
        <f t="shared" si="1"/>
        <v>-29828.5656679657</v>
      </c>
      <c r="O27" s="20">
        <f t="shared" si="2"/>
        <v>3396.9304431829842</v>
      </c>
      <c r="P27" s="95"/>
      <c r="R27">
        <v>-28438.679926104454</v>
      </c>
      <c r="S27">
        <v>0</v>
      </c>
      <c r="T27">
        <v>-1389.8857418612474</v>
      </c>
    </row>
    <row r="28" spans="1:20" ht="15.75" x14ac:dyDescent="0.5">
      <c r="A28" s="19">
        <v>2</v>
      </c>
      <c r="B28" s="40" t="s">
        <v>28</v>
      </c>
      <c r="C28" s="43">
        <f>'F - FY 17-18 Alloc and Realloc'!J29</f>
        <v>313445.3579749288</v>
      </c>
      <c r="D28" s="43">
        <f>'F - FY 17-18 Alloc and Realloc'!W29</f>
        <v>-448389.53218462551</v>
      </c>
      <c r="E28" s="43">
        <f>'F - FY 17-18 Alloc and Realloc'!T29</f>
        <v>1567839.0188640093</v>
      </c>
      <c r="F28" s="43">
        <f>'F - FY 17-18 Alloc and Realloc'!N29</f>
        <v>101742.99721651827</v>
      </c>
      <c r="G28" s="43">
        <f>'F - FY 17-18 Alloc and Realloc'!X29</f>
        <v>-1829959.2418568754</v>
      </c>
      <c r="H28" s="43">
        <f>'F - FY 17-18 Alloc and Realloc'!U29</f>
        <v>0</v>
      </c>
      <c r="I28" s="43">
        <f>'F - FY 17-18 Alloc and Realloc'!R29</f>
        <v>0</v>
      </c>
      <c r="J28" s="43">
        <f>'F - FY 17-18 Alloc and Realloc'!AB29</f>
        <v>-2059.7973011205631</v>
      </c>
      <c r="K28" s="45">
        <f t="shared" si="0"/>
        <v>-297381.19728716509</v>
      </c>
      <c r="L28" s="127">
        <v>-1.0378324163846622E-2</v>
      </c>
      <c r="M28" s="11"/>
      <c r="N28" s="256">
        <f t="shared" si="1"/>
        <v>108946.96224217801</v>
      </c>
      <c r="O28" s="11">
        <f t="shared" si="2"/>
        <v>-406328.15952934313</v>
      </c>
      <c r="P28" s="95"/>
      <c r="R28">
        <v>112097.38304615667</v>
      </c>
      <c r="S28">
        <v>0</v>
      </c>
      <c r="T28">
        <v>-3150.4208039786636</v>
      </c>
    </row>
    <row r="29" spans="1:20" ht="15.75" x14ac:dyDescent="0.5">
      <c r="A29" s="19">
        <v>1</v>
      </c>
      <c r="B29" s="40" t="s">
        <v>13</v>
      </c>
      <c r="C29" s="43">
        <f>'F - FY 17-18 Alloc and Realloc'!J30</f>
        <v>-175523.86441952054</v>
      </c>
      <c r="D29" s="43">
        <f>'F - FY 17-18 Alloc and Realloc'!W30</f>
        <v>148203.36337673609</v>
      </c>
      <c r="E29" s="43">
        <f>'F - FY 17-18 Alloc and Realloc'!T30</f>
        <v>87579.13105310555</v>
      </c>
      <c r="F29" s="43">
        <f>'F - FY 17-18 Alloc and Realloc'!N30</f>
        <v>-56974.281464701577</v>
      </c>
      <c r="G29" s="43">
        <f>'F - FY 17-18 Alloc and Realloc'!X30</f>
        <v>-24287.997798187036</v>
      </c>
      <c r="H29" s="43">
        <f>'F - FY 17-18 Alloc and Realloc'!U30</f>
        <v>0</v>
      </c>
      <c r="I29" s="43">
        <f>'F - FY 17-18 Alloc and Realloc'!R30</f>
        <v>0</v>
      </c>
      <c r="J29" s="43">
        <f>'F - FY 17-18 Alloc and Realloc'!AB30</f>
        <v>3186.8857444176683</v>
      </c>
      <c r="K29" s="45">
        <f t="shared" si="0"/>
        <v>-17816.763508149848</v>
      </c>
      <c r="L29" s="263">
        <v>0.38864345008677231</v>
      </c>
      <c r="M29" s="20"/>
      <c r="N29" s="256">
        <f t="shared" si="1"/>
        <v>-13333.643752517601</v>
      </c>
      <c r="O29" s="20">
        <f t="shared" si="2"/>
        <v>-4483.1197556322477</v>
      </c>
      <c r="P29" s="95"/>
      <c r="R29">
        <v>-37050.840844184</v>
      </c>
      <c r="S29">
        <v>0</v>
      </c>
      <c r="T29">
        <v>23717.1970916664</v>
      </c>
    </row>
    <row r="30" spans="1:20" ht="15.75" x14ac:dyDescent="0.5">
      <c r="A30" s="19">
        <v>1</v>
      </c>
      <c r="B30" s="40" t="s">
        <v>14</v>
      </c>
      <c r="C30" s="43">
        <f>'F - FY 17-18 Alloc and Realloc'!J31</f>
        <v>-54934.689706462319</v>
      </c>
      <c r="D30" s="43">
        <f>'F - FY 17-18 Alloc and Realloc'!W31</f>
        <v>38618.478334542597</v>
      </c>
      <c r="E30" s="43">
        <f>'F - FY 17-18 Alloc and Realloc'!T31</f>
        <v>182175.86504438857</v>
      </c>
      <c r="F30" s="43">
        <f>'F - FY 17-18 Alloc and Realloc'!N31</f>
        <v>-17831.560875570256</v>
      </c>
      <c r="G30" s="43">
        <f>'F - FY 17-18 Alloc and Realloc'!X31</f>
        <v>-168668.95149587927</v>
      </c>
      <c r="H30" s="43">
        <f>'F - FY 17-18 Alloc and Realloc'!U31</f>
        <v>0</v>
      </c>
      <c r="I30" s="43">
        <f>'F - FY 17-18 Alloc and Realloc'!R31</f>
        <v>0</v>
      </c>
      <c r="J30" s="43">
        <f>'F - FY 17-18 Alloc and Realloc'!AB31</f>
        <v>124224.73404901498</v>
      </c>
      <c r="K30" s="45">
        <f t="shared" si="0"/>
        <v>103583.8753500343</v>
      </c>
      <c r="L30" s="127">
        <v>-0.14747326898954755</v>
      </c>
      <c r="M30" s="11"/>
      <c r="N30" s="256">
        <f t="shared" si="1"/>
        <v>170037.36712571021</v>
      </c>
      <c r="O30" s="11">
        <f t="shared" si="2"/>
        <v>-66453.49177567591</v>
      </c>
      <c r="P30" s="95"/>
      <c r="R30">
        <v>-9654.6195836356237</v>
      </c>
      <c r="S30">
        <v>0</v>
      </c>
      <c r="T30">
        <v>179691.98670934583</v>
      </c>
    </row>
    <row r="31" spans="1:20" ht="15.75" x14ac:dyDescent="0.5">
      <c r="A31" s="19">
        <v>3</v>
      </c>
      <c r="B31" s="40" t="s">
        <v>44</v>
      </c>
      <c r="C31" s="43">
        <f>'F - FY 17-18 Alloc and Realloc'!J32</f>
        <v>501330.03856579587</v>
      </c>
      <c r="D31" s="43">
        <f>'F - FY 17-18 Alloc and Realloc'!W32</f>
        <v>-349451.81026455574</v>
      </c>
      <c r="E31" s="43">
        <f>'F - FY 17-18 Alloc and Realloc'!T32</f>
        <v>2274082.0734466277</v>
      </c>
      <c r="F31" s="43">
        <f>'F - FY 17-18 Alloc and Realloc'!N32</f>
        <v>162729.54574250383</v>
      </c>
      <c r="G31" s="43">
        <f>'F - FY 17-18 Alloc and Realloc'!X32</f>
        <v>-2394928.8644918092</v>
      </c>
      <c r="H31" s="43">
        <f>'F - FY 17-18 Alloc and Realloc'!U32</f>
        <v>0</v>
      </c>
      <c r="I31" s="43">
        <f>'F - FY 17-18 Alloc and Realloc'!R32</f>
        <v>0</v>
      </c>
      <c r="J31" s="43">
        <f>'F - FY 17-18 Alloc and Realloc'!AB32</f>
        <v>-3088.0644204237519</v>
      </c>
      <c r="K31" s="45">
        <f t="shared" si="0"/>
        <v>190672.91857813875</v>
      </c>
      <c r="L31" s="127">
        <v>-0.11894264156736838</v>
      </c>
      <c r="M31" s="11"/>
      <c r="N31" s="256">
        <f t="shared" si="1"/>
        <v>82934.640727689883</v>
      </c>
      <c r="O31" s="11">
        <f t="shared" si="2"/>
        <v>107738.27785044887</v>
      </c>
      <c r="P31" s="95"/>
      <c r="R31">
        <v>87362.952566139167</v>
      </c>
      <c r="S31">
        <v>0</v>
      </c>
      <c r="T31">
        <v>-4428.31183844928</v>
      </c>
    </row>
    <row r="32" spans="1:20" ht="15.75" x14ac:dyDescent="0.5">
      <c r="A32" s="19">
        <v>2</v>
      </c>
      <c r="B32" s="40" t="s">
        <v>29</v>
      </c>
      <c r="C32" s="43">
        <f>'F - FY 17-18 Alloc and Realloc'!J33</f>
        <v>-275271.88255985733</v>
      </c>
      <c r="D32" s="43">
        <f>'F - FY 17-18 Alloc and Realloc'!W33</f>
        <v>222925.8623475763</v>
      </c>
      <c r="E32" s="43">
        <f>'F - FY 17-18 Alloc and Realloc'!T33</f>
        <v>898875.73321970447</v>
      </c>
      <c r="F32" s="43">
        <f>'F - FY 17-18 Alloc and Realloc'!N33</f>
        <v>-89352.053455241374</v>
      </c>
      <c r="G32" s="43">
        <f>'F - FY 17-18 Alloc and Realloc'!X33</f>
        <v>-807325.87813453143</v>
      </c>
      <c r="H32" s="43">
        <f>'F - FY 17-18 Alloc and Realloc'!U33</f>
        <v>0</v>
      </c>
      <c r="I32" s="43">
        <f>'F - FY 17-18 Alloc and Realloc'!R33</f>
        <v>0</v>
      </c>
      <c r="J32" s="43">
        <f>'F - FY 17-18 Alloc and Realloc'!AB33</f>
        <v>-1261.5807767915126</v>
      </c>
      <c r="K32" s="45">
        <f t="shared" si="0"/>
        <v>-51409.799359140874</v>
      </c>
      <c r="L32" s="127">
        <v>-0.10437857589490458</v>
      </c>
      <c r="M32" s="11"/>
      <c r="N32" s="256">
        <f t="shared" si="1"/>
        <v>-57552.211391743789</v>
      </c>
      <c r="O32" s="11">
        <f t="shared" si="2"/>
        <v>6142.4120326029151</v>
      </c>
      <c r="P32" s="95"/>
      <c r="R32">
        <v>-55731.465586893959</v>
      </c>
      <c r="S32">
        <v>0</v>
      </c>
      <c r="T32">
        <v>-1820.7458048498299</v>
      </c>
    </row>
    <row r="33" spans="1:20" ht="15.75" x14ac:dyDescent="0.5">
      <c r="A33" s="19">
        <v>2</v>
      </c>
      <c r="B33" s="40" t="s">
        <v>30</v>
      </c>
      <c r="C33" s="43">
        <f>'F - FY 17-18 Alloc and Realloc'!J34</f>
        <v>-176993.90660410863</v>
      </c>
      <c r="D33" s="43">
        <f>'F - FY 17-18 Alloc and Realloc'!W34</f>
        <v>235622.78805182967</v>
      </c>
      <c r="E33" s="43">
        <f>'F - FY 17-18 Alloc and Realloc'!T34</f>
        <v>562075.84308193997</v>
      </c>
      <c r="F33" s="43">
        <f>'F - FY 17-18 Alloc and Realloc'!N34</f>
        <v>-57451.450751434546</v>
      </c>
      <c r="G33" s="43">
        <f>'F - FY 17-18 Alloc and Realloc'!X34</f>
        <v>-428321.96841567493</v>
      </c>
      <c r="H33" s="43">
        <f>'F - FY 17-18 Alloc and Realloc'!U34</f>
        <v>0</v>
      </c>
      <c r="I33" s="43">
        <f>'F - FY 17-18 Alloc and Realloc'!R34</f>
        <v>0</v>
      </c>
      <c r="J33" s="43">
        <f>'F - FY 17-18 Alloc and Realloc'!AB34</f>
        <v>-829.16355545713327</v>
      </c>
      <c r="K33" s="45">
        <f t="shared" si="0"/>
        <v>134102.14180709439</v>
      </c>
      <c r="L33" s="127">
        <v>-0.11257987169637146</v>
      </c>
      <c r="M33" s="11"/>
      <c r="N33" s="256">
        <f t="shared" si="1"/>
        <v>-60023.148947676971</v>
      </c>
      <c r="O33" s="11">
        <f t="shared" si="2"/>
        <v>194125.29075477135</v>
      </c>
      <c r="P33" s="95"/>
      <c r="R33">
        <v>-58905.697012957338</v>
      </c>
      <c r="S33">
        <v>0</v>
      </c>
      <c r="T33">
        <v>-1117.4519347196338</v>
      </c>
    </row>
    <row r="34" spans="1:20" ht="15.75" x14ac:dyDescent="0.5">
      <c r="A34" s="19">
        <v>4</v>
      </c>
      <c r="B34" s="40" t="s">
        <v>55</v>
      </c>
      <c r="C34" s="43">
        <f>'F - FY 17-18 Alloc and Realloc'!J35</f>
        <v>-10569600.131407708</v>
      </c>
      <c r="D34" s="43">
        <f>'F - FY 17-18 Alloc and Realloc'!W35</f>
        <v>7903661.0790719315</v>
      </c>
      <c r="E34" s="43">
        <f>'F - FY 17-18 Alloc and Realloc'!T35</f>
        <v>16529106.340783898</v>
      </c>
      <c r="F34" s="43">
        <f>'F - FY 17-18 Alloc and Realloc'!N35</f>
        <v>-3430846.1407666951</v>
      </c>
      <c r="G34" s="43">
        <f>'F - FY 17-18 Alloc and Realloc'!X35</f>
        <v>-13546217.625468954</v>
      </c>
      <c r="H34" s="43">
        <f>'F - FY 17-18 Alloc and Realloc'!U35</f>
        <v>0</v>
      </c>
      <c r="I34" s="43">
        <f>'F - FY 17-18 Alloc and Realloc'!R35</f>
        <v>0</v>
      </c>
      <c r="J34" s="43">
        <f>'F - FY 17-18 Alloc and Realloc'!AB35</f>
        <v>-24189.103411594479</v>
      </c>
      <c r="K34" s="45">
        <f t="shared" si="0"/>
        <v>-3138085.5811991226</v>
      </c>
      <c r="L34" s="265">
        <v>-9.6270727092793232E-2</v>
      </c>
      <c r="M34" s="11"/>
      <c r="N34" s="267">
        <f t="shared" si="1"/>
        <v>-2011593.5881673289</v>
      </c>
      <c r="O34" s="268">
        <f t="shared" si="2"/>
        <v>-1126491.9930317937</v>
      </c>
      <c r="P34" s="95"/>
      <c r="R34">
        <v>-1975915.269767982</v>
      </c>
      <c r="S34">
        <v>0</v>
      </c>
      <c r="T34">
        <v>-35678.318399346877</v>
      </c>
    </row>
    <row r="35" spans="1:20" ht="15.75" x14ac:dyDescent="0.5">
      <c r="A35" s="19">
        <v>2</v>
      </c>
      <c r="B35" s="40" t="s">
        <v>31</v>
      </c>
      <c r="C35" s="43">
        <f>'F - FY 17-18 Alloc and Realloc'!J36</f>
        <v>1022595.2104038661</v>
      </c>
      <c r="D35" s="43">
        <f>'F - FY 17-18 Alloc and Realloc'!W36</f>
        <v>-729593.95681736711</v>
      </c>
      <c r="E35" s="43">
        <f>'F - FY 17-18 Alloc and Realloc'!T36</f>
        <v>2135731.0189073314</v>
      </c>
      <c r="F35" s="43">
        <f>'F - FY 17-18 Alloc and Realloc'!N36</f>
        <v>331929.94886868657</v>
      </c>
      <c r="G35" s="43">
        <f>'F - FY 17-18 Alloc and Realloc'!X36</f>
        <v>-2395858.6171438349</v>
      </c>
      <c r="H35" s="43">
        <f>'F - FY 17-18 Alloc and Realloc'!U36</f>
        <v>0</v>
      </c>
      <c r="I35" s="43">
        <f>'F - FY 17-18 Alloc and Realloc'!R36</f>
        <v>0</v>
      </c>
      <c r="J35" s="43">
        <f>'F - FY 17-18 Alloc and Realloc'!AB36</f>
        <v>-2829.3152599021687</v>
      </c>
      <c r="K35" s="45">
        <f t="shared" si="0"/>
        <v>361974.28895878012</v>
      </c>
      <c r="L35" s="127">
        <v>-0.12116420754153165</v>
      </c>
      <c r="M35" s="11"/>
      <c r="N35" s="256">
        <f t="shared" si="1"/>
        <v>178393.99089804647</v>
      </c>
      <c r="O35" s="11">
        <f t="shared" si="2"/>
        <v>183580.29806073365</v>
      </c>
      <c r="P35" s="95"/>
      <c r="R35">
        <v>182398.48920434195</v>
      </c>
      <c r="S35">
        <v>0</v>
      </c>
      <c r="T35">
        <v>-4004.4983062954725</v>
      </c>
    </row>
    <row r="36" spans="1:20" ht="15.75" x14ac:dyDescent="0.5">
      <c r="A36" s="19">
        <v>1</v>
      </c>
      <c r="B36" s="40" t="s">
        <v>15</v>
      </c>
      <c r="C36" s="43">
        <f>'F - FY 17-18 Alloc and Realloc'!J37</f>
        <v>-371457.91997253301</v>
      </c>
      <c r="D36" s="43">
        <f>'F - FY 17-18 Alloc and Realloc'!W37</f>
        <v>249686.25511507282</v>
      </c>
      <c r="E36" s="43">
        <f>'F - FY 17-18 Alloc and Realloc'!T37</f>
        <v>113303.50253399076</v>
      </c>
      <c r="F36" s="43">
        <f>'F - FY 17-18 Alloc and Realloc'!N37</f>
        <v>-120573.62202455032</v>
      </c>
      <c r="G36" s="43">
        <f>'F - FY 17-18 Alloc and Realloc'!X37</f>
        <v>-31259.448839065633</v>
      </c>
      <c r="H36" s="43">
        <f>'F - FY 17-18 Alloc and Realloc'!U37</f>
        <v>0</v>
      </c>
      <c r="I36" s="43">
        <f>'F - FY 17-18 Alloc and Realloc'!R37</f>
        <v>0</v>
      </c>
      <c r="J36" s="43">
        <f>'F - FY 17-18 Alloc and Realloc'!AB37</f>
        <v>-203.42529151992639</v>
      </c>
      <c r="K36" s="45">
        <f t="shared" si="0"/>
        <v>-160504.6584786053</v>
      </c>
      <c r="L36" s="127">
        <v>0.15097906965082508</v>
      </c>
      <c r="M36" s="11"/>
      <c r="N36" s="256">
        <f t="shared" si="1"/>
        <v>1.0913936421275139E-10</v>
      </c>
      <c r="O36" s="11">
        <f t="shared" si="2"/>
        <v>-160504.65847860542</v>
      </c>
      <c r="P36" s="95"/>
      <c r="R36">
        <v>-62421.563778768184</v>
      </c>
      <c r="S36">
        <v>0</v>
      </c>
      <c r="T36">
        <v>62421.563778768294</v>
      </c>
    </row>
    <row r="37" spans="1:20" ht="15.75" x14ac:dyDescent="0.5">
      <c r="A37" s="19">
        <v>4</v>
      </c>
      <c r="B37" s="40" t="s">
        <v>56</v>
      </c>
      <c r="C37" s="43">
        <f>'F - FY 17-18 Alloc and Realloc'!J38</f>
        <v>8252468.9865810499</v>
      </c>
      <c r="D37" s="43">
        <f>'F - FY 17-18 Alloc and Realloc'!W38</f>
        <v>-6110439.0052038282</v>
      </c>
      <c r="E37" s="43">
        <f>'F - FY 17-18 Alloc and Realloc'!T38</f>
        <v>11952480.591895277</v>
      </c>
      <c r="F37" s="43">
        <f>'F - FY 17-18 Alloc and Realloc'!N38</f>
        <v>2678715.4691194221</v>
      </c>
      <c r="G37" s="43">
        <f>'F - FY 17-18 Alloc and Realloc'!X38</f>
        <v>-14232319.802886022</v>
      </c>
      <c r="H37" s="43">
        <f>'F - FY 17-18 Alloc and Realloc'!U38</f>
        <v>0</v>
      </c>
      <c r="I37" s="43">
        <f>'F - FY 17-18 Alloc and Realloc'!R38</f>
        <v>0</v>
      </c>
      <c r="J37" s="43">
        <f>'F - FY 17-18 Alloc and Realloc'!AB38</f>
        <v>-15525.622093651073</v>
      </c>
      <c r="K37" s="45">
        <f t="shared" si="0"/>
        <v>2525380.6174122472</v>
      </c>
      <c r="L37" s="127">
        <v>-7.8739558385453712E-2</v>
      </c>
      <c r="M37" s="11"/>
      <c r="N37" s="256">
        <f t="shared" si="1"/>
        <v>1505756.5234760051</v>
      </c>
      <c r="O37" s="11">
        <f t="shared" si="2"/>
        <v>1019624.0939362422</v>
      </c>
      <c r="P37" s="95"/>
      <c r="R37">
        <v>1527609.751300958</v>
      </c>
      <c r="S37">
        <v>0</v>
      </c>
      <c r="T37">
        <v>-21853.227824952908</v>
      </c>
    </row>
    <row r="38" spans="1:20" ht="15.75" x14ac:dyDescent="0.5">
      <c r="A38" s="19">
        <v>4</v>
      </c>
      <c r="B38" s="40" t="s">
        <v>57</v>
      </c>
      <c r="C38" s="43">
        <f>'F - FY 17-18 Alloc and Realloc'!J39</f>
        <v>165838.79104417935</v>
      </c>
      <c r="D38" s="43">
        <f>'F - FY 17-18 Alloc and Realloc'!W39</f>
        <v>419571.53221079707</v>
      </c>
      <c r="E38" s="43">
        <f>'F - FY 17-18 Alloc and Realloc'!T39</f>
        <v>10046179.459508913</v>
      </c>
      <c r="F38" s="43">
        <f>'F - FY 17-18 Alloc and Realloc'!N39</f>
        <v>53830.548854224384</v>
      </c>
      <c r="G38" s="43">
        <f>'F - FY 17-18 Alloc and Realloc'!X39</f>
        <v>-9651871.1834548898</v>
      </c>
      <c r="H38" s="43">
        <f>'F - FY 17-18 Alloc and Realloc'!U39</f>
        <v>0</v>
      </c>
      <c r="I38" s="43">
        <f>'F - FY 17-18 Alloc and Realloc'!R39</f>
        <v>0</v>
      </c>
      <c r="J38" s="43">
        <f>'F - FY 17-18 Alloc and Realloc'!AB39</f>
        <v>-13494.116586586986</v>
      </c>
      <c r="K38" s="45">
        <f t="shared" si="0"/>
        <v>1020055.0315766366</v>
      </c>
      <c r="L38" s="127">
        <v>-5.3923000599862404E-4</v>
      </c>
      <c r="M38" s="11"/>
      <c r="N38" s="256">
        <f t="shared" si="1"/>
        <v>-124044.20490155992</v>
      </c>
      <c r="O38" s="11">
        <f t="shared" si="2"/>
        <v>1144099.2364781965</v>
      </c>
      <c r="P38" s="95"/>
      <c r="R38">
        <v>-104892.88305269796</v>
      </c>
      <c r="S38">
        <v>0</v>
      </c>
      <c r="T38">
        <v>-19151.321848861953</v>
      </c>
    </row>
    <row r="39" spans="1:20" ht="15.75" x14ac:dyDescent="0.5">
      <c r="A39" s="19">
        <v>1</v>
      </c>
      <c r="B39" s="40" t="s">
        <v>16</v>
      </c>
      <c r="C39" s="43">
        <f>'F - FY 17-18 Alloc and Realloc'!J40</f>
        <v>-294163.68468495121</v>
      </c>
      <c r="D39" s="43">
        <f>'F - FY 17-18 Alloc and Realloc'!W40</f>
        <v>325982.93890553736</v>
      </c>
      <c r="E39" s="43">
        <f>'F - FY 17-18 Alloc and Realloc'!T40</f>
        <v>309614.98570935871</v>
      </c>
      <c r="F39" s="43">
        <f>'F - FY 17-18 Alloc and Realloc'!N40</f>
        <v>-95484.250095340423</v>
      </c>
      <c r="G39" s="43">
        <f>'F - FY 17-18 Alloc and Realloc'!X40</f>
        <v>-140567.63243388748</v>
      </c>
      <c r="H39" s="43">
        <f>'F - FY 17-18 Alloc and Realloc'!U40</f>
        <v>0</v>
      </c>
      <c r="I39" s="43">
        <f>'F - FY 17-18 Alloc and Realloc'!R40</f>
        <v>0</v>
      </c>
      <c r="J39" s="43">
        <f>'F - FY 17-18 Alloc and Realloc'!AB40</f>
        <v>-461.27914360307892</v>
      </c>
      <c r="K39" s="45">
        <f t="shared" si="0"/>
        <v>104921.07825711387</v>
      </c>
      <c r="L39" s="127">
        <v>-4.2716843794162983E-3</v>
      </c>
      <c r="M39" s="11"/>
      <c r="N39" s="256">
        <f t="shared" si="1"/>
        <v>-82111.006059569525</v>
      </c>
      <c r="O39" s="11">
        <f t="shared" si="2"/>
        <v>187032.08431668341</v>
      </c>
      <c r="P39" s="95"/>
      <c r="R39">
        <v>-81495.734726384297</v>
      </c>
      <c r="S39">
        <v>0</v>
      </c>
      <c r="T39">
        <v>-615.27133318522112</v>
      </c>
    </row>
    <row r="40" spans="1:20" ht="15.75" x14ac:dyDescent="0.5">
      <c r="A40" s="19">
        <v>4</v>
      </c>
      <c r="B40" s="40" t="s">
        <v>58</v>
      </c>
      <c r="C40" s="43">
        <f>'F - FY 17-18 Alloc and Realloc'!J41</f>
        <v>8749100.872519888</v>
      </c>
      <c r="D40" s="43">
        <f>'F - FY 17-18 Alloc and Realloc'!W41</f>
        <v>-7035711.4315954708</v>
      </c>
      <c r="E40" s="43">
        <f>'F - FY 17-18 Alloc and Realloc'!T41</f>
        <v>12794480.6900077</v>
      </c>
      <c r="F40" s="43">
        <f>'F - FY 17-18 Alloc and Realloc'!N41</f>
        <v>2839920.0149935745</v>
      </c>
      <c r="G40" s="43">
        <f>'F - FY 17-18 Alloc and Realloc'!X41</f>
        <v>-15663963.848391943</v>
      </c>
      <c r="H40" s="43">
        <f>'F - FY 17-18 Alloc and Realloc'!U41</f>
        <v>0</v>
      </c>
      <c r="I40" s="43">
        <f>'F - FY 17-18 Alloc and Realloc'!R41</f>
        <v>0</v>
      </c>
      <c r="J40" s="43">
        <f>'F - FY 17-18 Alloc and Realloc'!AB41</f>
        <v>-16776.204805606772</v>
      </c>
      <c r="K40" s="45">
        <f t="shared" si="0"/>
        <v>1667050.0927281438</v>
      </c>
      <c r="L40" s="127">
        <v>4.5499334144080417E-3</v>
      </c>
      <c r="M40" s="11"/>
      <c r="N40" s="256">
        <f t="shared" si="1"/>
        <v>1734770.946693399</v>
      </c>
      <c r="O40" s="11">
        <f t="shared" si="2"/>
        <v>-67720.853965255199</v>
      </c>
      <c r="P40" s="95"/>
      <c r="R40">
        <v>1758927.8578988686</v>
      </c>
      <c r="S40">
        <v>0</v>
      </c>
      <c r="T40">
        <v>-24156.911205469609</v>
      </c>
    </row>
    <row r="41" spans="1:20" ht="15.75" x14ac:dyDescent="0.5">
      <c r="A41" s="19">
        <v>4</v>
      </c>
      <c r="B41" s="40" t="s">
        <v>59</v>
      </c>
      <c r="C41" s="43">
        <f>'F - FY 17-18 Alloc and Realloc'!J42</f>
        <v>-11257150.356569849</v>
      </c>
      <c r="D41" s="43">
        <f>'F - FY 17-18 Alloc and Realloc'!W42</f>
        <v>9271417.0360096022</v>
      </c>
      <c r="E41" s="43">
        <f>'F - FY 17-18 Alloc and Realloc'!T42</f>
        <v>16265867.965025892</v>
      </c>
      <c r="F41" s="43">
        <f>'F - FY 17-18 Alloc and Realloc'!N42</f>
        <v>-3654021.9475383591</v>
      </c>
      <c r="G41" s="43">
        <f>'F - FY 17-18 Alloc and Realloc'!X42</f>
        <v>-12396235.998990024</v>
      </c>
      <c r="H41" s="43">
        <f>'F - FY 17-18 Alloc and Realloc'!U42</f>
        <v>0</v>
      </c>
      <c r="I41" s="43">
        <f>'F - FY 17-18 Alloc and Realloc'!R42</f>
        <v>0</v>
      </c>
      <c r="J41" s="43">
        <f>'F - FY 17-18 Alloc and Realloc'!AB42</f>
        <v>-24293.101840124196</v>
      </c>
      <c r="K41" s="45">
        <f t="shared" si="0"/>
        <v>-1794416.4039028611</v>
      </c>
      <c r="L41" s="127">
        <v>-2.3264284433714429E-2</v>
      </c>
      <c r="M41" s="11"/>
      <c r="N41" s="256">
        <f t="shared" si="1"/>
        <v>-2352333.4813438351</v>
      </c>
      <c r="O41" s="11">
        <f t="shared" si="2"/>
        <v>557917.07744097407</v>
      </c>
      <c r="P41" s="95"/>
      <c r="R41">
        <v>-2317854.2590023982</v>
      </c>
      <c r="S41">
        <v>0</v>
      </c>
      <c r="T41">
        <v>-34479.222341436733</v>
      </c>
    </row>
    <row r="42" spans="1:20" ht="15.75" x14ac:dyDescent="0.5">
      <c r="A42" s="19">
        <v>4</v>
      </c>
      <c r="B42" s="40" t="s">
        <v>60</v>
      </c>
      <c r="C42" s="43">
        <f>'F - FY 17-18 Alloc and Realloc'!J43</f>
        <v>-8331657.3665574752</v>
      </c>
      <c r="D42" s="43">
        <f>'F - FY 17-18 Alloc and Realloc'!W43</f>
        <v>4680287.6783217452</v>
      </c>
      <c r="E42" s="43">
        <f>'F - FY 17-18 Alloc and Realloc'!T43</f>
        <v>5895442.7985408232</v>
      </c>
      <c r="F42" s="43">
        <f>'F - FY 17-18 Alloc and Realloc'!N43</f>
        <v>-2704419.6721600201</v>
      </c>
      <c r="G42" s="43">
        <f>'F - FY 17-18 Alloc and Realloc'!X43</f>
        <v>-4801860.0110019539</v>
      </c>
      <c r="H42" s="43">
        <f>'F - FY 17-18 Alloc and Realloc'!U43</f>
        <v>0</v>
      </c>
      <c r="I42" s="43">
        <f>'F - FY 17-18 Alloc and Realloc'!R43</f>
        <v>0</v>
      </c>
      <c r="J42" s="43">
        <f>'F - FY 17-18 Alloc and Realloc'!AB43</f>
        <v>-9574.9982711202338</v>
      </c>
      <c r="K42" s="45">
        <f t="shared" si="0"/>
        <v>-5271781.5711280005</v>
      </c>
      <c r="L42" s="265">
        <v>-5.8886604418592926E-2</v>
      </c>
      <c r="M42" s="11"/>
      <c r="N42" s="267">
        <f t="shared" si="1"/>
        <v>-1184947.3271128559</v>
      </c>
      <c r="O42" s="268">
        <f t="shared" si="2"/>
        <v>-4086834.2440151446</v>
      </c>
      <c r="P42" s="95"/>
      <c r="R42">
        <v>-1170071.9195804354</v>
      </c>
      <c r="S42">
        <v>0</v>
      </c>
      <c r="T42">
        <v>-14875.407532420564</v>
      </c>
    </row>
    <row r="43" spans="1:20" ht="15.75" x14ac:dyDescent="0.5">
      <c r="A43" s="19">
        <v>3</v>
      </c>
      <c r="B43" s="40" t="s">
        <v>45</v>
      </c>
      <c r="C43" s="43">
        <f>'F - FY 17-18 Alloc and Realloc'!J44</f>
        <v>2683686.0732024927</v>
      </c>
      <c r="D43" s="43">
        <f>'F - FY 17-18 Alloc and Realloc'!W44</f>
        <v>-1933499.8240175918</v>
      </c>
      <c r="E43" s="43">
        <f>'F - FY 17-18 Alloc and Realloc'!T44</f>
        <v>4707722.8610443594</v>
      </c>
      <c r="F43" s="43">
        <f>'F - FY 17-18 Alloc and Realloc'!N44</f>
        <v>871112.80396658229</v>
      </c>
      <c r="G43" s="43">
        <f>'F - FY 17-18 Alloc and Realloc'!X44</f>
        <v>-5405624.0989837246</v>
      </c>
      <c r="H43" s="43">
        <f>'F - FY 17-18 Alloc and Realloc'!U44</f>
        <v>0</v>
      </c>
      <c r="I43" s="43">
        <f>'F - FY 17-18 Alloc and Realloc'!R44</f>
        <v>0</v>
      </c>
      <c r="J43" s="43">
        <f>'F - FY 17-18 Alloc and Realloc'!AB44</f>
        <v>-6190.8705643378789</v>
      </c>
      <c r="K43" s="45">
        <f t="shared" si="0"/>
        <v>917206.9446477805</v>
      </c>
      <c r="L43" s="127">
        <v>-4.0079619756020028E-2</v>
      </c>
      <c r="M43" s="11"/>
      <c r="N43" s="256">
        <f t="shared" si="1"/>
        <v>474626.66027710086</v>
      </c>
      <c r="O43" s="11">
        <f t="shared" si="2"/>
        <v>442580.28437067964</v>
      </c>
      <c r="P43" s="95"/>
      <c r="R43">
        <v>483374.95600439812</v>
      </c>
      <c r="S43">
        <v>0</v>
      </c>
      <c r="T43">
        <v>-8748.2957272972762</v>
      </c>
    </row>
    <row r="44" spans="1:20" ht="15.75" x14ac:dyDescent="0.5">
      <c r="A44" s="19">
        <v>2</v>
      </c>
      <c r="B44" s="40" t="s">
        <v>32</v>
      </c>
      <c r="C44" s="43">
        <f>'F - FY 17-18 Alloc and Realloc'!J45</f>
        <v>-317844.06826211698</v>
      </c>
      <c r="D44" s="43">
        <f>'F - FY 17-18 Alloc and Realloc'!W45</f>
        <v>8117.468975763768</v>
      </c>
      <c r="E44" s="43">
        <f>'F - FY 17-18 Alloc and Realloc'!T45</f>
        <v>1617988.1354921276</v>
      </c>
      <c r="F44" s="43">
        <f>'F - FY 17-18 Alloc and Realloc'!N45</f>
        <v>-103170.79940633825</v>
      </c>
      <c r="G44" s="43">
        <f>'F - FY 17-18 Alloc and Realloc'!X45</f>
        <v>-1714571.697263635</v>
      </c>
      <c r="H44" s="43">
        <f>'F - FY 17-18 Alloc and Realloc'!U45</f>
        <v>0</v>
      </c>
      <c r="I44" s="43">
        <f>'F - FY 17-18 Alloc and Realloc'!R45</f>
        <v>0</v>
      </c>
      <c r="J44" s="43">
        <f>'F - FY 17-18 Alloc and Realloc'!AB45</f>
        <v>-2281.7022410231998</v>
      </c>
      <c r="K44" s="45">
        <f t="shared" si="0"/>
        <v>-511762.66270522203</v>
      </c>
      <c r="L44" s="265">
        <v>1.5628298633915183E-2</v>
      </c>
      <c r="M44" s="11"/>
      <c r="N44" s="267">
        <f t="shared" si="1"/>
        <v>-5385.8187869206868</v>
      </c>
      <c r="O44" s="268">
        <f t="shared" si="2"/>
        <v>-506376.84391830134</v>
      </c>
      <c r="P44" s="95"/>
      <c r="R44">
        <v>-2029.3672439407819</v>
      </c>
      <c r="S44">
        <v>0</v>
      </c>
      <c r="T44">
        <v>-3356.4515429799044</v>
      </c>
    </row>
    <row r="45" spans="1:20" ht="15.75" x14ac:dyDescent="0.5">
      <c r="A45" s="19">
        <v>3</v>
      </c>
      <c r="B45" s="40" t="s">
        <v>46</v>
      </c>
      <c r="C45" s="43">
        <f>'F - FY 17-18 Alloc and Realloc'!J46</f>
        <v>-1585254.0215768274</v>
      </c>
      <c r="D45" s="43">
        <f>'F - FY 17-18 Alloc and Realloc'!W46</f>
        <v>1561907.7568524424</v>
      </c>
      <c r="E45" s="43">
        <f>'F - FY 17-18 Alloc and Realloc'!T46</f>
        <v>4317049.4025420388</v>
      </c>
      <c r="F45" s="43">
        <f>'F - FY 17-18 Alloc and Realloc'!N46</f>
        <v>-514566.54693117272</v>
      </c>
      <c r="G45" s="43">
        <f>'F - FY 17-18 Alloc and Realloc'!X46</f>
        <v>-3564144.821613933</v>
      </c>
      <c r="H45" s="43">
        <f>'F - FY 17-18 Alloc and Realloc'!U46</f>
        <v>0</v>
      </c>
      <c r="I45" s="43">
        <f>'F - FY 17-18 Alloc and Realloc'!R46</f>
        <v>0</v>
      </c>
      <c r="J45" s="43">
        <f>'F - FY 17-18 Alloc and Realloc'!AB46</f>
        <v>-6005.6217130079849</v>
      </c>
      <c r="K45" s="45">
        <f t="shared" si="0"/>
        <v>208986.14755954017</v>
      </c>
      <c r="L45" s="127">
        <v>-0.18529527835183907</v>
      </c>
      <c r="M45" s="11"/>
      <c r="N45" s="256">
        <f t="shared" si="1"/>
        <v>-399259.23512467201</v>
      </c>
      <c r="O45" s="11">
        <f t="shared" si="2"/>
        <v>608245.38268421218</v>
      </c>
      <c r="P45" s="95"/>
      <c r="R45">
        <v>-390476.93921311019</v>
      </c>
      <c r="S45">
        <v>0</v>
      </c>
      <c r="T45">
        <v>-8782.2959115617887</v>
      </c>
    </row>
    <row r="46" spans="1:20" ht="15.75" x14ac:dyDescent="0.5">
      <c r="A46" s="19">
        <v>3</v>
      </c>
      <c r="B46" s="40" t="s">
        <v>47</v>
      </c>
      <c r="C46" s="43">
        <f>'F - FY 17-18 Alloc and Realloc'!J47</f>
        <v>-814732.42381252162</v>
      </c>
      <c r="D46" s="43">
        <f>'F - FY 17-18 Alloc and Realloc'!W47</f>
        <v>866144.1686125258</v>
      </c>
      <c r="E46" s="43">
        <f>'F - FY 17-18 Alloc and Realloc'!T47</f>
        <v>2716193.7482990553</v>
      </c>
      <c r="F46" s="43">
        <f>'F - FY 17-18 Alloc and Realloc'!N47</f>
        <v>-264458.59419871913</v>
      </c>
      <c r="G46" s="43">
        <f>'F - FY 17-18 Alloc and Realloc'!X47</f>
        <v>-2277785.7862215135</v>
      </c>
      <c r="H46" s="43">
        <f>'F - FY 17-18 Alloc and Realloc'!U47</f>
        <v>0</v>
      </c>
      <c r="I46" s="43">
        <f>'F - FY 17-18 Alloc and Realloc'!R47</f>
        <v>0</v>
      </c>
      <c r="J46" s="43">
        <f>'F - FY 17-18 Alloc and Realloc'!AB47</f>
        <v>-3770.6564016124171</v>
      </c>
      <c r="K46" s="45">
        <f t="shared" si="0"/>
        <v>221590.45627721437</v>
      </c>
      <c r="L46" s="127">
        <v>-7.6562839563071472E-2</v>
      </c>
      <c r="M46" s="11"/>
      <c r="N46" s="256">
        <f t="shared" si="1"/>
        <v>-221879.36909514407</v>
      </c>
      <c r="O46" s="11">
        <f t="shared" si="2"/>
        <v>443469.82537235843</v>
      </c>
      <c r="P46" s="95"/>
      <c r="R46">
        <v>-216536.04215313125</v>
      </c>
      <c r="S46">
        <v>0</v>
      </c>
      <c r="T46">
        <v>-5343.3269420128063</v>
      </c>
    </row>
    <row r="47" spans="1:20" ht="15.75" x14ac:dyDescent="0.5">
      <c r="A47" s="19">
        <v>4</v>
      </c>
      <c r="B47" s="40" t="s">
        <v>61</v>
      </c>
      <c r="C47" s="43">
        <f>'F - FY 17-18 Alloc and Realloc'!J48</f>
        <v>-9742805.8929724954</v>
      </c>
      <c r="D47" s="43">
        <f>'F - FY 17-18 Alloc and Realloc'!W48</f>
        <v>7851839.5311955437</v>
      </c>
      <c r="E47" s="43">
        <f>'F - FY 17-18 Alloc and Realloc'!T48</f>
        <v>8890974.1656867079</v>
      </c>
      <c r="F47" s="43">
        <f>'F - FY 17-18 Alloc and Realloc'!N48</f>
        <v>-3162472.3341063503</v>
      </c>
      <c r="G47" s="43">
        <f>'F - FY 17-18 Alloc and Realloc'!X48</f>
        <v>-5681764.2652226044</v>
      </c>
      <c r="H47" s="43">
        <f>'F - FY 17-18 Alloc and Realloc'!U48</f>
        <v>0</v>
      </c>
      <c r="I47" s="43">
        <f>'F - FY 17-18 Alloc and Realloc'!R48</f>
        <v>0</v>
      </c>
      <c r="J47" s="43">
        <f>'F - FY 17-18 Alloc and Realloc'!AB48</f>
        <v>-13861.166033576568</v>
      </c>
      <c r="K47" s="45">
        <f t="shared" si="0"/>
        <v>-1858089.9614527749</v>
      </c>
      <c r="L47" s="127">
        <v>-0.16817716046750916</v>
      </c>
      <c r="M47" s="11"/>
      <c r="N47" s="256">
        <f t="shared" si="1"/>
        <v>-1982368.5873074564</v>
      </c>
      <c r="O47" s="11">
        <f t="shared" si="2"/>
        <v>124278.62585468148</v>
      </c>
      <c r="P47" s="95"/>
      <c r="R47">
        <v>-1962959.8827988843</v>
      </c>
      <c r="S47">
        <v>0</v>
      </c>
      <c r="T47">
        <v>-19408.70450857222</v>
      </c>
    </row>
    <row r="48" spans="1:20" ht="15.75" x14ac:dyDescent="0.5">
      <c r="A48" s="19">
        <v>2</v>
      </c>
      <c r="B48" s="40" t="s">
        <v>33</v>
      </c>
      <c r="C48" s="43">
        <f>'F - FY 17-18 Alloc and Realloc'!J49</f>
        <v>-159043.51527923718</v>
      </c>
      <c r="D48" s="43">
        <f>'F - FY 17-18 Alloc and Realloc'!W49</f>
        <v>173511.16445206059</v>
      </c>
      <c r="E48" s="43">
        <f>'F - FY 17-18 Alloc and Realloc'!T49</f>
        <v>1556809.1790810637</v>
      </c>
      <c r="F48" s="43">
        <f>'F - FY 17-18 Alloc and Realloc'!N49</f>
        <v>-51624.831954457564</v>
      </c>
      <c r="G48" s="43">
        <f>'F - FY 17-18 Alloc and Realloc'!X49</f>
        <v>-1467631.5914692003</v>
      </c>
      <c r="H48" s="43">
        <f>'F - FY 17-18 Alloc and Realloc'!U49</f>
        <v>0</v>
      </c>
      <c r="I48" s="43">
        <f>'F - FY 17-18 Alloc and Realloc'!R49</f>
        <v>0</v>
      </c>
      <c r="J48" s="43">
        <f>'F - FY 17-18 Alloc and Realloc'!AB49</f>
        <v>-2166.6913452588738</v>
      </c>
      <c r="K48" s="45">
        <f t="shared" si="0"/>
        <v>49853.713484970365</v>
      </c>
      <c r="L48" s="127">
        <v>-0.21603382493666176</v>
      </c>
      <c r="M48" s="11"/>
      <c r="N48" s="256">
        <f t="shared" si="1"/>
        <v>-46390.046483881852</v>
      </c>
      <c r="O48" s="11">
        <f t="shared" si="2"/>
        <v>96243.759968852217</v>
      </c>
      <c r="P48" s="95"/>
      <c r="R48">
        <v>-43377.7911130149</v>
      </c>
      <c r="S48">
        <v>0</v>
      </c>
      <c r="T48">
        <v>-3012.2553708669507</v>
      </c>
    </row>
    <row r="49" spans="1:20" ht="15.75" x14ac:dyDescent="0.5">
      <c r="A49" s="19">
        <v>2</v>
      </c>
      <c r="B49" s="40" t="s">
        <v>34</v>
      </c>
      <c r="C49" s="43">
        <f>'F - FY 17-18 Alloc and Realloc'!J50</f>
        <v>507330.27297464665</v>
      </c>
      <c r="D49" s="43">
        <f>'F - FY 17-18 Alloc and Realloc'!W50</f>
        <v>-278741.78301041108</v>
      </c>
      <c r="E49" s="43">
        <f>'F - FY 17-18 Alloc and Realloc'!T50</f>
        <v>1367156.6602841886</v>
      </c>
      <c r="F49" s="43">
        <f>'F - FY 17-18 Alloc and Realloc'!N50</f>
        <v>164677.19568283879</v>
      </c>
      <c r="G49" s="43">
        <f>'F - FY 17-18 Alloc and Realloc'!X50</f>
        <v>-1428675.3846508665</v>
      </c>
      <c r="H49" s="43">
        <f>'F - FY 17-18 Alloc and Realloc'!U50</f>
        <v>0</v>
      </c>
      <c r="I49" s="43">
        <f>'F - FY 17-18 Alloc and Realloc'!R50</f>
        <v>0</v>
      </c>
      <c r="J49" s="43">
        <f>'F - FY 17-18 Alloc and Realloc'!AB50</f>
        <v>-1901.4387736499305</v>
      </c>
      <c r="K49" s="45">
        <f t="shared" si="0"/>
        <v>329845.52250674652</v>
      </c>
      <c r="L49" s="127">
        <v>8.5813868883464303E-2</v>
      </c>
      <c r="M49" s="11"/>
      <c r="N49" s="256">
        <f t="shared" si="1"/>
        <v>67034.35174236531</v>
      </c>
      <c r="O49" s="11">
        <f t="shared" si="2"/>
        <v>262811.17076438118</v>
      </c>
      <c r="P49" s="95"/>
      <c r="R49">
        <v>69685.445752602973</v>
      </c>
      <c r="S49">
        <v>0</v>
      </c>
      <c r="T49">
        <v>-2651.0940102376653</v>
      </c>
    </row>
    <row r="50" spans="1:20" ht="15.75" x14ac:dyDescent="0.5">
      <c r="A50" s="19">
        <v>1</v>
      </c>
      <c r="B50" s="40" t="s">
        <v>17</v>
      </c>
      <c r="C50" s="43">
        <f>'F - FY 17-18 Alloc and Realloc'!J51</f>
        <v>-157879.65222548466</v>
      </c>
      <c r="D50" s="43">
        <f>'F - FY 17-18 Alloc and Realloc'!W51</f>
        <v>130924.7885068914</v>
      </c>
      <c r="E50" s="43">
        <f>'F - FY 17-18 Alloc and Realloc'!T51</f>
        <v>36753.287928753474</v>
      </c>
      <c r="F50" s="43">
        <f>'F - FY 17-18 Alloc and Realloc'!N51</f>
        <v>-51247.047079277894</v>
      </c>
      <c r="G50" s="43">
        <f>'F - FY 17-18 Alloc and Realloc'!X51</f>
        <v>18243.70445302923</v>
      </c>
      <c r="H50" s="43">
        <f>'F - FY 17-18 Alloc and Realloc'!U51</f>
        <v>0</v>
      </c>
      <c r="I50" s="43">
        <f>'F - FY 17-18 Alloc and Realloc'!R51</f>
        <v>0</v>
      </c>
      <c r="J50" s="43">
        <f>'F - FY 17-18 Alloc and Realloc'!AB51</f>
        <v>13352.51141608844</v>
      </c>
      <c r="K50" s="45">
        <f t="shared" si="0"/>
        <v>-9852.4070000000102</v>
      </c>
      <c r="L50" s="127">
        <v>0</v>
      </c>
      <c r="M50" s="11"/>
      <c r="N50" s="256">
        <f t="shared" si="1"/>
        <v>4.7293724492192268E-11</v>
      </c>
      <c r="O50" s="11">
        <f t="shared" si="2"/>
        <v>-9852.4070000000575</v>
      </c>
      <c r="P50" s="95"/>
      <c r="R50">
        <v>-32731.197126722847</v>
      </c>
      <c r="S50">
        <v>0</v>
      </c>
      <c r="T50">
        <v>32731.197126722895</v>
      </c>
    </row>
    <row r="51" spans="1:20" ht="15.75" x14ac:dyDescent="0.5">
      <c r="A51" s="19">
        <v>2</v>
      </c>
      <c r="B51" s="40" t="s">
        <v>35</v>
      </c>
      <c r="C51" s="43">
        <f>'F - FY 17-18 Alloc and Realloc'!J52</f>
        <v>-705982.99939273123</v>
      </c>
      <c r="D51" s="43">
        <f>'F - FY 17-18 Alloc and Realloc'!W52</f>
        <v>568425.10277287359</v>
      </c>
      <c r="E51" s="43">
        <f>'F - FY 17-18 Alloc and Realloc'!T52</f>
        <v>299059.91430992162</v>
      </c>
      <c r="F51" s="43">
        <f>'F - FY 17-18 Alloc and Realloc'!N52</f>
        <v>-229159.00495763234</v>
      </c>
      <c r="G51" s="43">
        <f>'F - FY 17-18 Alloc and Realloc'!X52</f>
        <v>-66948.141301166062</v>
      </c>
      <c r="H51" s="43">
        <f>'F - FY 17-18 Alloc and Realloc'!U52</f>
        <v>0</v>
      </c>
      <c r="I51" s="43">
        <f>'F - FY 17-18 Alloc and Realloc'!R52</f>
        <v>0</v>
      </c>
      <c r="J51" s="43">
        <f>'F - FY 17-18 Alloc and Realloc'!AB52</f>
        <v>-517.86712603714989</v>
      </c>
      <c r="K51" s="45">
        <f t="shared" si="0"/>
        <v>-135122.99569477158</v>
      </c>
      <c r="L51" s="127">
        <v>5.3632070449715831E-2</v>
      </c>
      <c r="M51" s="11"/>
      <c r="N51" s="256">
        <f t="shared" si="1"/>
        <v>-142845.57988623279</v>
      </c>
      <c r="O51" s="11">
        <f t="shared" si="2"/>
        <v>7722.5841914612101</v>
      </c>
      <c r="P51" s="95"/>
      <c r="R51">
        <v>-142106.27569321837</v>
      </c>
      <c r="S51">
        <v>0</v>
      </c>
      <c r="T51">
        <v>-739.30419301442373</v>
      </c>
    </row>
    <row r="52" spans="1:20" ht="15.75" x14ac:dyDescent="0.5">
      <c r="A52" s="19">
        <v>3</v>
      </c>
      <c r="B52" s="40" t="s">
        <v>48</v>
      </c>
      <c r="C52" s="43">
        <f>'F - FY 17-18 Alloc and Realloc'!J53</f>
        <v>329906.74041104503</v>
      </c>
      <c r="D52" s="43">
        <f>'F - FY 17-18 Alloc and Realloc'!W53</f>
        <v>-117645.20071914326</v>
      </c>
      <c r="E52" s="43">
        <f>'F - FY 17-18 Alloc and Realloc'!T53</f>
        <v>2655841.3388901157</v>
      </c>
      <c r="F52" s="43">
        <f>'F - FY 17-18 Alloc and Realloc'!N53</f>
        <v>107086.29021724546</v>
      </c>
      <c r="G52" s="43">
        <f>'F - FY 17-18 Alloc and Realloc'!X53</f>
        <v>-2644222.8473239364</v>
      </c>
      <c r="H52" s="43">
        <f>'F - FY 17-18 Alloc and Realloc'!U53</f>
        <v>0</v>
      </c>
      <c r="I52" s="43">
        <f>'F - FY 17-18 Alloc and Realloc'!R53</f>
        <v>0</v>
      </c>
      <c r="J52" s="43">
        <f>'F - FY 17-18 Alloc and Realloc'!AB53</f>
        <v>-3696.2427181024091</v>
      </c>
      <c r="K52" s="45">
        <f t="shared" si="0"/>
        <v>327270.07875722414</v>
      </c>
      <c r="L52" s="127">
        <v>-0.10186944424298588</v>
      </c>
      <c r="M52" s="11"/>
      <c r="N52" s="256">
        <f t="shared" si="1"/>
        <v>24211.916799204926</v>
      </c>
      <c r="O52" s="11">
        <f t="shared" si="2"/>
        <v>303058.16195801919</v>
      </c>
      <c r="P52" s="95"/>
      <c r="R52">
        <v>29411.300179786023</v>
      </c>
      <c r="S52">
        <v>0</v>
      </c>
      <c r="T52">
        <v>-5199.3833805810991</v>
      </c>
    </row>
    <row r="53" spans="1:20" ht="15.75" x14ac:dyDescent="0.5">
      <c r="A53" s="19">
        <v>3</v>
      </c>
      <c r="B53" s="40" t="s">
        <v>49</v>
      </c>
      <c r="C53" s="43">
        <f>'F - FY 17-18 Alloc and Realloc'!J54</f>
        <v>-563198.07974920236</v>
      </c>
      <c r="D53" s="43">
        <f>'F - FY 17-18 Alloc and Realloc'!W54</f>
        <v>420539.35427064542</v>
      </c>
      <c r="E53" s="43">
        <f>'F - FY 17-18 Alloc and Realloc'!T54</f>
        <v>2875834.0593903917</v>
      </c>
      <c r="F53" s="43">
        <f>'F - FY 17-18 Alloc and Realloc'!N54</f>
        <v>-182811.6422922248</v>
      </c>
      <c r="G53" s="43">
        <f>'F - FY 17-18 Alloc and Realloc'!X54</f>
        <v>-2717382.5974255702</v>
      </c>
      <c r="H53" s="43">
        <f>'F - FY 17-18 Alloc and Realloc'!U54</f>
        <v>0</v>
      </c>
      <c r="I53" s="43">
        <f>'F - FY 17-18 Alloc and Realloc'!R54</f>
        <v>0</v>
      </c>
      <c r="J53" s="43">
        <f>'F - FY 17-18 Alloc and Realloc'!AB54</f>
        <v>-4170.073003382865</v>
      </c>
      <c r="K53" s="45">
        <f t="shared" si="0"/>
        <v>-171188.97880934316</v>
      </c>
      <c r="L53" s="127">
        <v>-6.6404294003090461E-2</v>
      </c>
      <c r="M53" s="11"/>
      <c r="N53" s="256">
        <f t="shared" si="1"/>
        <v>-111073.52495697161</v>
      </c>
      <c r="O53" s="11">
        <f t="shared" si="2"/>
        <v>-60115.453852371546</v>
      </c>
      <c r="P53" s="95"/>
      <c r="R53">
        <v>-105134.83856766089</v>
      </c>
      <c r="S53">
        <v>0</v>
      </c>
      <c r="T53">
        <v>-5938.6863893107184</v>
      </c>
    </row>
    <row r="54" spans="1:20" ht="15.75" x14ac:dyDescent="0.5">
      <c r="A54" s="19">
        <v>3</v>
      </c>
      <c r="B54" s="40" t="s">
        <v>50</v>
      </c>
      <c r="C54" s="43">
        <f>'F - FY 17-18 Alloc and Realloc'!J55</f>
        <v>1829656.1953525748</v>
      </c>
      <c r="D54" s="43">
        <f>'F - FY 17-18 Alloc and Realloc'!W55</f>
        <v>-1482117.9373630146</v>
      </c>
      <c r="E54" s="43">
        <f>'F - FY 17-18 Alloc and Realloc'!T55</f>
        <v>3109158.1265195254</v>
      </c>
      <c r="F54" s="43">
        <f>'F - FY 17-18 Alloc and Realloc'!N55</f>
        <v>593898.42744403239</v>
      </c>
      <c r="G54" s="43">
        <f>'F - FY 17-18 Alloc and Realloc'!X55</f>
        <v>-3717982.2577210902</v>
      </c>
      <c r="H54" s="43">
        <f>'F - FY 17-18 Alloc and Realloc'!U55</f>
        <v>0</v>
      </c>
      <c r="I54" s="43">
        <f>'F - FY 17-18 Alloc and Realloc'!R55</f>
        <v>0</v>
      </c>
      <c r="J54" s="43">
        <f>'F - FY 17-18 Alloc and Realloc'!AB55</f>
        <v>-3925.2930009464185</v>
      </c>
      <c r="K54" s="45">
        <f t="shared" si="0"/>
        <v>328687.26123108144</v>
      </c>
      <c r="L54" s="127">
        <v>-4.1169886239540363E-2</v>
      </c>
      <c r="M54" s="11"/>
      <c r="N54" s="256">
        <f t="shared" si="1"/>
        <v>364896.20128257154</v>
      </c>
      <c r="O54" s="11">
        <f t="shared" si="2"/>
        <v>-36208.940051490092</v>
      </c>
      <c r="P54" s="95"/>
      <c r="R54">
        <v>370529.48434075381</v>
      </c>
      <c r="S54">
        <v>0</v>
      </c>
      <c r="T54">
        <v>-5633.2830581822782</v>
      </c>
    </row>
    <row r="55" spans="1:20" ht="15.75" x14ac:dyDescent="0.5">
      <c r="A55" s="19">
        <v>2</v>
      </c>
      <c r="B55" s="40" t="s">
        <v>36</v>
      </c>
      <c r="C55" s="43">
        <f>'F - FY 17-18 Alloc and Realloc'!J56</f>
        <v>381853.37190915504</v>
      </c>
      <c r="D55" s="43">
        <f>'F - FY 17-18 Alloc and Realloc'!W56</f>
        <v>-303661.63143025967</v>
      </c>
      <c r="E55" s="43">
        <f>'F - FY 17-18 Alloc and Realloc'!T56</f>
        <v>676254.75260866643</v>
      </c>
      <c r="F55" s="43">
        <f>'F - FY 17-18 Alloc and Realloc'!N56</f>
        <v>123947.94042022061</v>
      </c>
      <c r="G55" s="43">
        <f>'F - FY 17-18 Alloc and Realloc'!X56</f>
        <v>-798724.91773144982</v>
      </c>
      <c r="H55" s="43">
        <f>'F - FY 17-18 Alloc and Realloc'!U56</f>
        <v>0</v>
      </c>
      <c r="I55" s="43">
        <f>'F - FY 17-18 Alloc and Realloc'!R56</f>
        <v>0</v>
      </c>
      <c r="J55" s="43">
        <f>'F - FY 17-18 Alloc and Realloc'!AB56</f>
        <v>-896.89339112761195</v>
      </c>
      <c r="K55" s="45">
        <f t="shared" si="0"/>
        <v>78772.622385204973</v>
      </c>
      <c r="L55" s="127">
        <v>-1.5401894630029118E-2</v>
      </c>
      <c r="M55" s="11"/>
      <c r="N55" s="256">
        <f t="shared" si="1"/>
        <v>74650.202103470627</v>
      </c>
      <c r="O55" s="11">
        <f t="shared" si="2"/>
        <v>4122.4202817343466</v>
      </c>
      <c r="P55" s="95"/>
      <c r="R55">
        <v>75915.407857565035</v>
      </c>
      <c r="S55">
        <v>0</v>
      </c>
      <c r="T55">
        <v>-1265.2057540944115</v>
      </c>
    </row>
    <row r="56" spans="1:20" ht="15.75" x14ac:dyDescent="0.5">
      <c r="A56" s="19">
        <v>2</v>
      </c>
      <c r="B56" s="40" t="s">
        <v>37</v>
      </c>
      <c r="C56" s="43">
        <f>'F - FY 17-18 Alloc and Realloc'!J57</f>
        <v>192134.23569526337</v>
      </c>
      <c r="D56" s="43">
        <f>'F - FY 17-18 Alloc and Realloc'!W57</f>
        <v>-119114.85318706674</v>
      </c>
      <c r="E56" s="43">
        <f>'F - FY 17-18 Alloc and Realloc'!T57</f>
        <v>534213.99932937394</v>
      </c>
      <c r="F56" s="43">
        <f>'F - FY 17-18 Alloc and Realloc'!N57</f>
        <v>62365.935593484202</v>
      </c>
      <c r="G56" s="43">
        <f>'F - FY 17-18 Alloc and Realloc'!X57</f>
        <v>-568508.46935295966</v>
      </c>
      <c r="H56" s="43">
        <f>'F - FY 17-18 Alloc and Realloc'!U57</f>
        <v>0</v>
      </c>
      <c r="I56" s="43">
        <f>'F - FY 17-18 Alloc and Realloc'!R57</f>
        <v>0</v>
      </c>
      <c r="J56" s="43">
        <f>'F - FY 17-18 Alloc and Realloc'!AB57</f>
        <v>-715.06946194637237</v>
      </c>
      <c r="K56" s="45">
        <f t="shared" si="0"/>
        <v>100375.77861614875</v>
      </c>
      <c r="L56" s="127">
        <v>0.20580051738043859</v>
      </c>
      <c r="M56" s="11"/>
      <c r="N56" s="256">
        <f t="shared" si="1"/>
        <v>28769.121553639558</v>
      </c>
      <c r="O56" s="11">
        <f t="shared" si="2"/>
        <v>71606.657062509184</v>
      </c>
      <c r="P56" s="95"/>
      <c r="R56">
        <v>29778.713296766764</v>
      </c>
      <c r="S56">
        <v>0</v>
      </c>
      <c r="T56">
        <v>-1009.5917431272064</v>
      </c>
    </row>
    <row r="57" spans="1:20" ht="15.75" x14ac:dyDescent="0.5">
      <c r="A57" s="19">
        <v>1</v>
      </c>
      <c r="B57" s="40" t="s">
        <v>18</v>
      </c>
      <c r="C57" s="43">
        <f>'F - FY 17-18 Alloc and Realloc'!J58</f>
        <v>-23272.485470531683</v>
      </c>
      <c r="D57" s="43">
        <f>'F - FY 17-18 Alloc and Realloc'!W58</f>
        <v>40143.265812983969</v>
      </c>
      <c r="E57" s="43">
        <f>'F - FY 17-18 Alloc and Realloc'!T58</f>
        <v>153178.89152072038</v>
      </c>
      <c r="F57" s="43">
        <f>'F - FY 17-18 Alloc and Realloc'!N58</f>
        <v>-7554.1473631877452</v>
      </c>
      <c r="G57" s="43">
        <f>'F - FY 17-18 Alloc and Realloc'!X58</f>
        <v>-128157.21603347817</v>
      </c>
      <c r="H57" s="43">
        <f>'F - FY 17-18 Alloc and Realloc'!U58</f>
        <v>0</v>
      </c>
      <c r="I57" s="43">
        <f>'F - FY 17-18 Alloc and Realloc'!R58</f>
        <v>0</v>
      </c>
      <c r="J57" s="43">
        <f>'F - FY 17-18 Alloc and Realloc'!AB58</f>
        <v>-256.28182306843968</v>
      </c>
      <c r="K57" s="45">
        <f t="shared" si="0"/>
        <v>34082.026643438316</v>
      </c>
      <c r="L57" s="127">
        <v>0.23956014023480349</v>
      </c>
      <c r="M57" s="11"/>
      <c r="N57" s="256">
        <f t="shared" si="1"/>
        <v>-10389.165661875639</v>
      </c>
      <c r="O57" s="11">
        <f t="shared" si="2"/>
        <v>44471.192305313954</v>
      </c>
      <c r="P57" s="95"/>
      <c r="R57">
        <v>-10035.816453245978</v>
      </c>
      <c r="S57">
        <v>0</v>
      </c>
      <c r="T57">
        <v>-353.34920862966129</v>
      </c>
    </row>
    <row r="58" spans="1:20" ht="15.75" x14ac:dyDescent="0.5">
      <c r="A58" s="19">
        <v>3</v>
      </c>
      <c r="B58" s="40" t="s">
        <v>51</v>
      </c>
      <c r="C58" s="43">
        <f>'F - FY 17-18 Alloc and Realloc'!J59</f>
        <v>1868377.9508134946</v>
      </c>
      <c r="D58" s="43">
        <f>'F - FY 17-18 Alloc and Realloc'!W59</f>
        <v>-1050569.5409614332</v>
      </c>
      <c r="E58" s="43">
        <f>'F - FY 17-18 Alloc and Realloc'!T59</f>
        <v>2601596.3134045186</v>
      </c>
      <c r="F58" s="43">
        <f>'F - FY 17-18 Alloc and Realloc'!N59</f>
        <v>606467.34051880846</v>
      </c>
      <c r="G58" s="43">
        <f>'F - FY 17-18 Alloc and Realloc'!X59</f>
        <v>-2847654.7095274003</v>
      </c>
      <c r="H58" s="43">
        <f>'F - FY 17-18 Alloc and Realloc'!U59</f>
        <v>0</v>
      </c>
      <c r="I58" s="43">
        <f>'F - FY 17-18 Alloc and Realloc'!R59</f>
        <v>0</v>
      </c>
      <c r="J58" s="43">
        <f>'F - FY 17-18 Alloc and Realloc'!AB59</f>
        <v>-3410.832744519178</v>
      </c>
      <c r="K58" s="45">
        <f t="shared" si="0"/>
        <v>1174806.521503469</v>
      </c>
      <c r="L58" s="127">
        <v>6.5688076828947548E-2</v>
      </c>
      <c r="M58" s="11"/>
      <c r="N58" s="256">
        <f t="shared" si="1"/>
        <v>258017.1157683963</v>
      </c>
      <c r="O58" s="11">
        <f t="shared" si="2"/>
        <v>916789.40573507268</v>
      </c>
      <c r="P58" s="95"/>
      <c r="R58">
        <v>262642.38524035853</v>
      </c>
      <c r="S58">
        <v>0</v>
      </c>
      <c r="T58">
        <v>-4625.2694719622368</v>
      </c>
    </row>
    <row r="59" spans="1:20" ht="15.75" x14ac:dyDescent="0.5">
      <c r="A59" s="19">
        <v>2</v>
      </c>
      <c r="B59" s="40" t="s">
        <v>38</v>
      </c>
      <c r="C59" s="43">
        <f>'F - FY 17-18 Alloc and Realloc'!J60</f>
        <v>-76018.264083970804</v>
      </c>
      <c r="D59" s="43">
        <f>'F - FY 17-18 Alloc and Realloc'!W60</f>
        <v>146363.73745248199</v>
      </c>
      <c r="E59" s="43">
        <f>'F - FY 17-18 Alloc and Realloc'!T60</f>
        <v>395644.10809251654</v>
      </c>
      <c r="F59" s="43">
        <f>'F - FY 17-18 Alloc and Realloc'!N60</f>
        <v>-24675.197237148299</v>
      </c>
      <c r="G59" s="43">
        <f>'F - FY 17-18 Alloc and Realloc'!X60</f>
        <v>-301546.72700503928</v>
      </c>
      <c r="H59" s="43">
        <f>'F - FY 17-18 Alloc and Realloc'!U60</f>
        <v>0</v>
      </c>
      <c r="I59" s="43">
        <f>'F - FY 17-18 Alloc and Realloc'!R60</f>
        <v>0</v>
      </c>
      <c r="J59" s="43">
        <f>'F - FY 17-18 Alloc and Realloc'!AB60</f>
        <v>-564.27856031498095</v>
      </c>
      <c r="K59" s="45">
        <f t="shared" si="0"/>
        <v>139203.37865852518</v>
      </c>
      <c r="L59" s="127">
        <v>6.7628171024210995E-2</v>
      </c>
      <c r="M59" s="11"/>
      <c r="N59" s="256">
        <f t="shared" si="1"/>
        <v>-37349.304619596005</v>
      </c>
      <c r="O59" s="11">
        <f t="shared" si="2"/>
        <v>176552.68327812117</v>
      </c>
      <c r="P59" s="95"/>
      <c r="R59">
        <v>-36590.934363120476</v>
      </c>
      <c r="S59">
        <v>0</v>
      </c>
      <c r="T59">
        <v>-758.37025647553003</v>
      </c>
    </row>
    <row r="60" spans="1:20" ht="15.75" x14ac:dyDescent="0.5">
      <c r="A60" s="19">
        <v>3</v>
      </c>
      <c r="B60" s="40" t="s">
        <v>52</v>
      </c>
      <c r="C60" s="43">
        <f>'F - FY 17-18 Alloc and Realloc'!J61</f>
        <v>2325865.1449055225</v>
      </c>
      <c r="D60" s="43">
        <f>'F - FY 17-18 Alloc and Realloc'!W61</f>
        <v>-1419131.2472205963</v>
      </c>
      <c r="E60" s="43">
        <f>'F - FY 17-18 Alloc and Realloc'!T61</f>
        <v>4709648.5548357973</v>
      </c>
      <c r="F60" s="43">
        <f>'F - FY 17-18 Alloc and Realloc'!N61</f>
        <v>754965.69001046335</v>
      </c>
      <c r="G60" s="43">
        <f>'F - FY 17-18 Alloc and Realloc'!X61</f>
        <v>-5106292.4106539562</v>
      </c>
      <c r="H60" s="43">
        <f>'F - FY 17-18 Alloc and Realloc'!U61</f>
        <v>0</v>
      </c>
      <c r="I60" s="43">
        <f>'F - FY 17-18 Alloc and Realloc'!R61</f>
        <v>0</v>
      </c>
      <c r="J60" s="43">
        <f>'F - FY 17-18 Alloc and Realloc'!AB61</f>
        <v>-6189.2971357714123</v>
      </c>
      <c r="K60" s="45">
        <f t="shared" si="0"/>
        <v>1258866.4347414586</v>
      </c>
      <c r="L60" s="127">
        <v>-9.966754057040475E-2</v>
      </c>
      <c r="M60" s="11"/>
      <c r="N60" s="256">
        <f t="shared" si="1"/>
        <v>346091.96994638158</v>
      </c>
      <c r="O60" s="11">
        <f t="shared" si="2"/>
        <v>912774.46479507699</v>
      </c>
      <c r="P60" s="95"/>
      <c r="R60">
        <v>354782.81180514937</v>
      </c>
      <c r="S60">
        <v>0</v>
      </c>
      <c r="T60">
        <v>-8690.8418587677697</v>
      </c>
    </row>
    <row r="61" spans="1:20" ht="15.75" x14ac:dyDescent="0.5">
      <c r="A61" s="19">
        <v>2</v>
      </c>
      <c r="B61" s="40" t="s">
        <v>39</v>
      </c>
      <c r="C61" s="43">
        <f>'F - FY 17-18 Alloc and Realloc'!J62</f>
        <v>690172.48481237888</v>
      </c>
      <c r="D61" s="43">
        <f>'F - FY 17-18 Alloc and Realloc'!W62</f>
        <v>-303922.80943947565</v>
      </c>
      <c r="E61" s="43">
        <f>'F - FY 17-18 Alloc and Realloc'!T62</f>
        <v>1279636.1344654809</v>
      </c>
      <c r="F61" s="43">
        <f>'F - FY 17-18 Alloc and Realloc'!N62</f>
        <v>224026.98082643072</v>
      </c>
      <c r="G61" s="43">
        <f>'F - FY 17-18 Alloc and Realloc'!X62</f>
        <v>-1302239.2022910248</v>
      </c>
      <c r="H61" s="43">
        <f>'F - FY 17-18 Alloc and Realloc'!U62</f>
        <v>0</v>
      </c>
      <c r="I61" s="43">
        <f>'F - FY 17-18 Alloc and Realloc'!R62</f>
        <v>0</v>
      </c>
      <c r="J61" s="43">
        <f>'F - FY 17-18 Alloc and Realloc'!AB62</f>
        <v>-1669.1310335225951</v>
      </c>
      <c r="K61" s="45">
        <f t="shared" si="0"/>
        <v>586004.45734026749</v>
      </c>
      <c r="L61" s="263">
        <v>0.23437027596918489</v>
      </c>
      <c r="M61" s="20"/>
      <c r="N61" s="256">
        <f t="shared" si="1"/>
        <v>73711.433460355634</v>
      </c>
      <c r="O61" s="20">
        <f t="shared" si="2"/>
        <v>512293.02387991187</v>
      </c>
      <c r="P61" s="95"/>
      <c r="R61">
        <v>75980.702359868999</v>
      </c>
      <c r="S61">
        <v>0</v>
      </c>
      <c r="T61">
        <v>-2269.2688995133612</v>
      </c>
    </row>
    <row r="62" spans="1:20" ht="15.75" x14ac:dyDescent="0.5">
      <c r="A62" s="19">
        <v>2</v>
      </c>
      <c r="B62" s="40" t="s">
        <v>40</v>
      </c>
      <c r="C62" s="43">
        <f>'F - FY 17-18 Alloc and Realloc'!J63</f>
        <v>307340.94788972149</v>
      </c>
      <c r="D62" s="43">
        <f>'F - FY 17-18 Alloc and Realloc'!W63</f>
        <v>-226540.58629589365</v>
      </c>
      <c r="E62" s="43">
        <f>'F - FY 17-18 Alloc and Realloc'!T63</f>
        <v>623184.34924161981</v>
      </c>
      <c r="F62" s="43">
        <f>'F - FY 17-18 Alloc and Realloc'!N63</f>
        <v>99761.53230563103</v>
      </c>
      <c r="G62" s="43">
        <f>'F - FY 17-18 Alloc and Realloc'!X63</f>
        <v>-707258.03457841347</v>
      </c>
      <c r="H62" s="43">
        <f>'F - FY 17-18 Alloc and Realloc'!U63</f>
        <v>0</v>
      </c>
      <c r="I62" s="43">
        <f>'F - FY 17-18 Alloc and Realloc'!R63</f>
        <v>0</v>
      </c>
      <c r="J62" s="43">
        <f>'F - FY 17-18 Alloc and Realloc'!AB63</f>
        <v>-824.27459128281657</v>
      </c>
      <c r="K62" s="45">
        <f t="shared" si="0"/>
        <v>95663.933971382343</v>
      </c>
      <c r="L62" s="263">
        <v>3.2959545475607765E-4</v>
      </c>
      <c r="M62" s="20"/>
      <c r="N62" s="256">
        <f t="shared" si="1"/>
        <v>55462.660207392379</v>
      </c>
      <c r="O62" s="20">
        <f t="shared" si="2"/>
        <v>40201.273763989964</v>
      </c>
      <c r="P62" s="95"/>
      <c r="R62">
        <v>56635.146573973499</v>
      </c>
      <c r="S62">
        <v>0</v>
      </c>
      <c r="T62">
        <v>-1172.4863665811215</v>
      </c>
    </row>
    <row r="63" spans="1:20" ht="15.75" x14ac:dyDescent="0.5">
      <c r="A63" s="19"/>
      <c r="B63" s="147" t="s">
        <v>0</v>
      </c>
      <c r="C63" s="44">
        <f t="shared" ref="C63:K63" si="3">SUM(C5:C62)</f>
        <v>2.4028122425079346E-7</v>
      </c>
      <c r="D63" s="44">
        <f t="shared" si="3"/>
        <v>-2.0046718418598175E-7</v>
      </c>
      <c r="E63" s="44">
        <f t="shared" ref="E63" si="4">SUM(E5:E62)</f>
        <v>233788057.99999994</v>
      </c>
      <c r="F63" s="44">
        <f t="shared" si="3"/>
        <v>1.3032695278525352E-7</v>
      </c>
      <c r="G63" s="44">
        <f t="shared" si="3"/>
        <v>-233788058.00000021</v>
      </c>
      <c r="H63" s="44">
        <f>SUM(H5:H62)</f>
        <v>0</v>
      </c>
      <c r="I63" s="44">
        <f>SUM(I5:I62)</f>
        <v>0</v>
      </c>
      <c r="J63" s="44">
        <f t="shared" ref="J63" si="5">SUM(J5:J62)</f>
        <v>-2.2737367544323206E-12</v>
      </c>
      <c r="K63" s="44">
        <f t="shared" si="3"/>
        <v>-3.4560798667371273E-8</v>
      </c>
      <c r="N63" s="20">
        <f>SUM(N5:N62)</f>
        <v>8.0362951848655939E-8</v>
      </c>
    </row>
  </sheetData>
  <printOptions horizontalCentered="1" verticalCentered="1"/>
  <pageMargins left="0.7" right="0.7" top="0.25" bottom="0.5" header="0.3" footer="0.3"/>
  <pageSetup scale="78" fitToHeight="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7030A0"/>
  </sheetPr>
  <dimension ref="A1:HA113"/>
  <sheetViews>
    <sheetView zoomScaleNormal="100" workbookViewId="0">
      <pane xSplit="2" ySplit="6" topLeftCell="DO46" activePane="bottomRight" state="frozen"/>
      <selection activeCell="DX70" sqref="DX70"/>
      <selection pane="topRight" activeCell="DX70" sqref="DX70"/>
      <selection pane="bottomLeft" activeCell="DX70" sqref="DX70"/>
      <selection pane="bottomRight" activeCell="DX70" sqref="DX70"/>
    </sheetView>
  </sheetViews>
  <sheetFormatPr defaultColWidth="9.1328125" defaultRowHeight="14.25" outlineLevelCol="1" x14ac:dyDescent="0.45"/>
  <cols>
    <col min="1" max="1" width="6.86328125" style="48" customWidth="1"/>
    <col min="2" max="2" width="16.3984375" style="48" customWidth="1"/>
    <col min="3" max="3" width="13.86328125" style="48" customWidth="1"/>
    <col min="4" max="4" width="10.1328125" style="48" customWidth="1"/>
    <col min="5" max="5" width="1" customWidth="1"/>
    <col min="6" max="6" width="14.3984375" style="48" customWidth="1"/>
    <col min="7" max="7" width="10.1328125" style="48" customWidth="1"/>
    <col min="8" max="8" width="9.59765625" style="48" customWidth="1"/>
    <col min="9" max="9" width="14" style="48" customWidth="1"/>
    <col min="10" max="10" width="10.3984375" style="48" customWidth="1"/>
    <col min="11" max="11" width="10.1328125" style="48" customWidth="1"/>
    <col min="12" max="12" width="12.59765625" style="48" customWidth="1"/>
    <col min="13" max="13" width="10.1328125" style="48" customWidth="1"/>
    <col min="14" max="14" width="12.3984375" style="48" customWidth="1"/>
    <col min="15" max="15" width="1.59765625" customWidth="1"/>
    <col min="16" max="16" width="11.86328125" style="48" customWidth="1"/>
    <col min="17" max="17" width="12.3984375" style="48" customWidth="1"/>
    <col min="18" max="18" width="8.86328125" style="48" customWidth="1"/>
    <col min="19" max="19" width="10.59765625" style="48" customWidth="1"/>
    <col min="20" max="21" width="8.86328125" style="48" customWidth="1"/>
    <col min="22" max="22" width="12.1328125" style="48" customWidth="1"/>
    <col min="23" max="23" width="1.3984375" customWidth="1"/>
    <col min="24" max="24" width="10.59765625" style="48" customWidth="1" outlineLevel="1"/>
    <col min="25" max="25" width="10.1328125" style="48" customWidth="1"/>
    <col min="26" max="26" width="9" style="48" customWidth="1"/>
    <col min="27" max="27" width="12.59765625" style="48" customWidth="1"/>
    <col min="28" max="28" width="11.3984375" style="48" customWidth="1"/>
    <col min="29" max="29" width="10.3984375" style="48" customWidth="1"/>
    <col min="30" max="30" width="8.59765625" style="48" customWidth="1"/>
    <col min="31" max="31" width="13.1328125" style="48" customWidth="1"/>
    <col min="32" max="32" width="10.59765625" style="48" customWidth="1"/>
    <col min="33" max="34" width="10.1328125" style="48" customWidth="1"/>
    <col min="35" max="35" width="12.1328125" style="48" customWidth="1"/>
    <col min="36" max="39" width="10.59765625" style="48" hidden="1" customWidth="1" outlineLevel="1"/>
    <col min="40" max="40" width="15.3984375" style="48" hidden="1" customWidth="1" outlineLevel="1"/>
    <col min="41" max="41" width="13.3984375" style="48" hidden="1" customWidth="1" outlineLevel="1"/>
    <col min="42" max="45" width="15.1328125" style="48" hidden="1" customWidth="1" outlineLevel="1"/>
    <col min="46" max="47" width="12.3984375" style="48" hidden="1" customWidth="1" outlineLevel="1"/>
    <col min="48" max="48" width="1.3984375" style="48" hidden="1" customWidth="1" outlineLevel="1"/>
    <col min="49" max="49" width="10.59765625" style="48" hidden="1" customWidth="1" outlineLevel="1"/>
    <col min="50" max="50" width="15.3984375" style="48" hidden="1" customWidth="1" outlineLevel="1"/>
    <col min="51" max="51" width="13.3984375" style="48" hidden="1" customWidth="1" outlineLevel="1"/>
    <col min="52" max="55" width="15.3984375" style="48" hidden="1" customWidth="1" outlineLevel="1"/>
    <col min="56" max="57" width="12.3984375" style="48" hidden="1" customWidth="1" outlineLevel="1"/>
    <col min="58" max="58" width="1.3984375" style="48" hidden="1" customWidth="1" outlineLevel="1"/>
    <col min="59" max="59" width="10.59765625" style="48" hidden="1" customWidth="1" outlineLevel="1"/>
    <col min="60" max="60" width="15.3984375" style="48" hidden="1" customWidth="1" outlineLevel="1"/>
    <col min="61" max="61" width="13.3984375" style="48" hidden="1" customWidth="1" outlineLevel="1"/>
    <col min="62" max="65" width="15.3984375" style="48" hidden="1" customWidth="1" outlineLevel="1"/>
    <col min="66" max="67" width="12.3984375" style="48" hidden="1" customWidth="1" outlineLevel="1"/>
    <col min="68" max="68" width="1.3984375" style="48" hidden="1" customWidth="1" outlineLevel="1"/>
    <col min="69" max="69" width="10.59765625" style="48" hidden="1" customWidth="1" outlineLevel="1"/>
    <col min="70" max="70" width="15.3984375" style="48" hidden="1" customWidth="1" outlineLevel="1"/>
    <col min="71" max="71" width="13.3984375" style="48" hidden="1" customWidth="1" outlineLevel="1"/>
    <col min="72" max="75" width="15.3984375" style="48" hidden="1" customWidth="1" outlineLevel="1"/>
    <col min="76" max="77" width="12.3984375" style="48" hidden="1" customWidth="1" outlineLevel="1"/>
    <col min="78" max="78" width="1.3984375" style="48" hidden="1" customWidth="1" outlineLevel="1"/>
    <col min="79" max="79" width="10.59765625" style="48" hidden="1" customWidth="1" outlineLevel="1"/>
    <col min="80" max="80" width="15.3984375" style="48" hidden="1" customWidth="1" outlineLevel="1"/>
    <col min="81" max="81" width="14.3984375" style="48" hidden="1" customWidth="1" outlineLevel="1"/>
    <col min="82" max="85" width="15.3984375" style="48" hidden="1" customWidth="1" outlineLevel="1"/>
    <col min="86" max="87" width="12.3984375" style="48" hidden="1" customWidth="1" outlineLevel="1"/>
    <col min="88" max="88" width="1.3984375" style="48" hidden="1" customWidth="1" outlineLevel="1"/>
    <col min="89" max="89" width="10.59765625" style="48" hidden="1" customWidth="1" outlineLevel="1"/>
    <col min="90" max="90" width="15.3984375" style="48" hidden="1" customWidth="1" outlineLevel="1"/>
    <col min="91" max="91" width="14.3984375" style="48" hidden="1" customWidth="1" outlineLevel="1"/>
    <col min="92" max="95" width="15.3984375" style="48" hidden="1" customWidth="1" outlineLevel="1"/>
    <col min="96" max="97" width="12.3984375" style="48" hidden="1" customWidth="1" outlineLevel="1"/>
    <col min="98" max="98" width="3.1328125" customWidth="1" collapsed="1"/>
    <col min="99" max="110" width="13.3984375" style="48" customWidth="1"/>
    <col min="111" max="111" width="1.86328125" customWidth="1" collapsed="1"/>
    <col min="112" max="112" width="8.86328125" style="48" customWidth="1"/>
    <col min="113" max="113" width="11.3984375" style="48" customWidth="1"/>
    <col min="114" max="114" width="12.3984375" style="48" customWidth="1"/>
    <col min="115" max="115" width="8.86328125" style="48" customWidth="1"/>
    <col min="116" max="116" width="11.59765625" style="48" customWidth="1"/>
    <col min="117" max="117" width="10.59765625" style="48" customWidth="1"/>
    <col min="118" max="118" width="3.86328125" customWidth="1"/>
    <col min="119" max="120" width="14.3984375" style="48" customWidth="1"/>
    <col min="121" max="121" width="13" style="48" customWidth="1"/>
    <col min="122" max="122" width="12.1328125" style="48" customWidth="1"/>
    <col min="123" max="124" width="14.3984375" style="48" customWidth="1"/>
    <col min="125" max="125" width="13" style="48" customWidth="1"/>
    <col min="126" max="126" width="13.1328125" style="48" customWidth="1"/>
    <col min="127" max="128" width="14.3984375" style="48" customWidth="1"/>
    <col min="129" max="129" width="13" style="48" customWidth="1"/>
    <col min="130" max="130" width="12.59765625" style="48" customWidth="1"/>
    <col min="131" max="132" width="14.3984375" style="48" customWidth="1"/>
    <col min="133" max="133" width="13.59765625" style="48" customWidth="1"/>
    <col min="134" max="134" width="13.1328125" style="48" customWidth="1"/>
    <col min="135" max="136" width="14.3984375" style="48" customWidth="1"/>
    <col min="137" max="137" width="13.59765625" style="48" customWidth="1"/>
    <col min="138" max="138" width="13.1328125" style="48" customWidth="1"/>
    <col min="139" max="140" width="14.3984375" style="48" customWidth="1"/>
    <col min="141" max="141" width="13.59765625" style="48" customWidth="1"/>
    <col min="142" max="142" width="13.1328125" style="48" customWidth="1"/>
    <col min="143" max="143" width="14" style="48" customWidth="1"/>
    <col min="144" max="144" width="13.3984375" style="48" customWidth="1"/>
    <col min="145" max="145" width="3.3984375" style="48" customWidth="1"/>
    <col min="146" max="147" width="14.3984375" style="48" customWidth="1"/>
    <col min="148" max="149" width="13" style="48" customWidth="1"/>
    <col min="150" max="151" width="14.3984375" style="48" customWidth="1"/>
    <col min="152" max="152" width="13" style="48" customWidth="1"/>
    <col min="153" max="153" width="11.3984375" style="48" customWidth="1"/>
    <col min="154" max="155" width="14.3984375" style="48" customWidth="1"/>
    <col min="156" max="157" width="13" style="48" customWidth="1"/>
    <col min="158" max="159" width="14.3984375" style="48" customWidth="1"/>
    <col min="160" max="160" width="13.59765625" style="48" customWidth="1"/>
    <col min="161" max="161" width="12.86328125" style="48" customWidth="1"/>
    <col min="162" max="163" width="14.3984375" style="48" customWidth="1"/>
    <col min="164" max="164" width="13" style="48" customWidth="1"/>
    <col min="165" max="165" width="12.3984375" style="48" customWidth="1"/>
    <col min="166" max="167" width="14.3984375" style="48" customWidth="1"/>
    <col min="168" max="168" width="13.3984375" style="48" customWidth="1"/>
    <col min="169" max="169" width="12.86328125" style="48" customWidth="1"/>
    <col min="170" max="171" width="14.3984375" style="48" customWidth="1"/>
    <col min="172" max="172" width="13" style="48" customWidth="1"/>
    <col min="173" max="173" width="12.1328125" style="48" customWidth="1"/>
    <col min="174" max="175" width="14.3984375" style="48" customWidth="1"/>
    <col min="176" max="176" width="13" style="48" customWidth="1"/>
    <col min="177" max="177" width="12.3984375" style="48" customWidth="1"/>
    <col min="178" max="179" width="14.3984375" style="48" customWidth="1"/>
    <col min="180" max="180" width="13" style="48" customWidth="1"/>
    <col min="181" max="181" width="12.3984375" style="48" customWidth="1"/>
    <col min="182" max="182" width="4.3984375" style="48" customWidth="1"/>
    <col min="183" max="183" width="14.3984375" style="48" customWidth="1"/>
    <col min="184" max="187" width="13.3984375" style="48" customWidth="1"/>
    <col min="188" max="188" width="14.3984375" style="48" customWidth="1"/>
    <col min="189" max="189" width="12" style="48" customWidth="1"/>
    <col min="190" max="190" width="3" style="48" customWidth="1"/>
    <col min="191" max="191" width="14.3984375" style="48" customWidth="1"/>
    <col min="192" max="194" width="13" style="48" customWidth="1"/>
    <col min="195" max="195" width="13.3984375" style="48" customWidth="1"/>
    <col min="196" max="196" width="13" style="48" customWidth="1"/>
    <col min="197" max="197" width="13.86328125" style="48" customWidth="1"/>
    <col min="198" max="198" width="11.3984375" style="48" customWidth="1"/>
    <col min="199" max="199" width="4.3984375" style="48" customWidth="1"/>
    <col min="200" max="200" width="14.3984375" style="48" customWidth="1"/>
    <col min="201" max="202" width="13.59765625" style="48" customWidth="1"/>
    <col min="203" max="203" width="13" style="48" customWidth="1"/>
    <col min="204" max="204" width="14.3984375" style="48" customWidth="1"/>
    <col min="205" max="205" width="10.1328125" style="48" customWidth="1"/>
    <col min="206" max="206" width="3.3984375" style="48" customWidth="1"/>
    <col min="207" max="207" width="14.3984375" style="48" customWidth="1"/>
    <col min="208" max="208" width="13.59765625" style="48" customWidth="1"/>
    <col min="209" max="209" width="14.3984375" style="48" customWidth="1"/>
    <col min="210" max="210" width="3.3984375" style="48" customWidth="1"/>
    <col min="211" max="211" width="5" style="48" customWidth="1"/>
    <col min="212" max="16384" width="9.1328125" style="48"/>
  </cols>
  <sheetData>
    <row r="1" spans="1:209" ht="6.75" customHeight="1" x14ac:dyDescent="0.55000000000000004">
      <c r="A1" s="50"/>
    </row>
    <row r="2" spans="1:209" ht="27.6" customHeight="1" x14ac:dyDescent="0.55000000000000004">
      <c r="A2" s="50"/>
    </row>
    <row r="3" spans="1:209" ht="18.75" customHeight="1" x14ac:dyDescent="0.55000000000000004">
      <c r="A3" s="50"/>
      <c r="F3" s="450" t="s">
        <v>236</v>
      </c>
      <c r="G3" s="451"/>
      <c r="H3" s="451"/>
      <c r="I3" s="451"/>
      <c r="J3" s="451"/>
      <c r="K3" s="451"/>
      <c r="L3" s="451"/>
      <c r="M3" s="451"/>
      <c r="N3" s="452"/>
      <c r="P3" s="450" t="s">
        <v>245</v>
      </c>
      <c r="Q3" s="451"/>
      <c r="R3" s="451"/>
      <c r="S3" s="451"/>
      <c r="T3" s="451"/>
      <c r="U3" s="451"/>
      <c r="V3" s="452"/>
      <c r="X3"/>
      <c r="Y3" s="450" t="s">
        <v>134</v>
      </c>
      <c r="Z3" s="451"/>
      <c r="AA3" s="451"/>
      <c r="AB3" s="451"/>
      <c r="AC3" s="451"/>
      <c r="AD3" s="451"/>
      <c r="AE3" s="451"/>
      <c r="AF3" s="451"/>
      <c r="AG3" s="451"/>
      <c r="AH3" s="451"/>
      <c r="AI3" s="452"/>
      <c r="AJ3" s="450" t="s">
        <v>298</v>
      </c>
      <c r="AK3" s="451"/>
      <c r="AL3" s="451"/>
      <c r="AM3" s="451"/>
      <c r="AN3" s="451"/>
      <c r="AO3" s="451"/>
      <c r="AP3" s="451"/>
      <c r="AQ3" s="451"/>
      <c r="AR3" s="451"/>
      <c r="AS3" s="451"/>
      <c r="AT3" s="451"/>
      <c r="AU3" s="452"/>
      <c r="AV3" s="199"/>
      <c r="AW3" s="450" t="s">
        <v>327</v>
      </c>
      <c r="AX3" s="451"/>
      <c r="AY3" s="451"/>
      <c r="AZ3" s="451"/>
      <c r="BA3" s="451"/>
      <c r="BB3" s="451"/>
      <c r="BC3" s="451"/>
      <c r="BD3" s="451"/>
      <c r="BE3" s="452"/>
      <c r="BF3" s="199"/>
      <c r="BG3" s="450" t="s">
        <v>329</v>
      </c>
      <c r="BH3" s="451"/>
      <c r="BI3" s="451"/>
      <c r="BJ3" s="451"/>
      <c r="BK3" s="451"/>
      <c r="BL3" s="451"/>
      <c r="BM3" s="451"/>
      <c r="BN3" s="451"/>
      <c r="BO3" s="452"/>
      <c r="BP3" s="199"/>
      <c r="BQ3" s="450" t="s">
        <v>328</v>
      </c>
      <c r="BR3" s="451"/>
      <c r="BS3" s="451"/>
      <c r="BT3" s="451"/>
      <c r="BU3" s="451"/>
      <c r="BV3" s="451"/>
      <c r="BW3" s="451"/>
      <c r="BX3" s="451"/>
      <c r="BY3" s="452"/>
      <c r="BZ3" s="199"/>
      <c r="CA3" s="450" t="s">
        <v>381</v>
      </c>
      <c r="CB3" s="451"/>
      <c r="CC3" s="451"/>
      <c r="CD3" s="451"/>
      <c r="CE3" s="451"/>
      <c r="CF3" s="451"/>
      <c r="CG3" s="451"/>
      <c r="CH3" s="451"/>
      <c r="CI3" s="452"/>
      <c r="CJ3" s="199"/>
      <c r="CK3" s="450" t="s">
        <v>382</v>
      </c>
      <c r="CL3" s="451"/>
      <c r="CM3" s="451"/>
      <c r="CN3" s="451"/>
      <c r="CO3" s="451"/>
      <c r="CP3" s="451"/>
      <c r="CQ3" s="451"/>
      <c r="CR3" s="451"/>
      <c r="CS3" s="452"/>
      <c r="CU3" s="450" t="s">
        <v>250</v>
      </c>
      <c r="CV3" s="451"/>
      <c r="CW3" s="451"/>
      <c r="CX3" s="451"/>
      <c r="CY3" s="451"/>
      <c r="CZ3" s="451"/>
      <c r="DA3" s="451"/>
      <c r="DB3" s="451"/>
      <c r="DC3" s="451"/>
      <c r="DD3" s="451"/>
      <c r="DE3" s="451"/>
      <c r="DF3" s="452"/>
      <c r="DH3" s="450" t="s">
        <v>283</v>
      </c>
      <c r="DI3" s="451"/>
      <c r="DJ3" s="451"/>
      <c r="DK3" s="451"/>
      <c r="DL3" s="451"/>
      <c r="DM3" s="452"/>
      <c r="DO3" s="450" t="s">
        <v>251</v>
      </c>
      <c r="DP3" s="451"/>
      <c r="DQ3" s="451"/>
      <c r="DR3" s="451"/>
      <c r="DS3" s="451"/>
      <c r="DT3" s="451"/>
      <c r="DU3" s="451"/>
      <c r="DV3" s="451"/>
      <c r="DW3" s="451"/>
      <c r="DX3" s="451"/>
      <c r="DY3" s="451"/>
      <c r="DZ3" s="451"/>
      <c r="EA3" s="451"/>
      <c r="EB3" s="451"/>
      <c r="EC3" s="451"/>
      <c r="ED3" s="451"/>
      <c r="EE3" s="451"/>
      <c r="EF3" s="451"/>
      <c r="EG3" s="451"/>
      <c r="EH3" s="451"/>
      <c r="EI3" s="451"/>
      <c r="EJ3" s="451"/>
      <c r="EK3" s="451"/>
      <c r="EL3" s="451"/>
      <c r="EM3" s="451"/>
      <c r="EN3" s="452"/>
      <c r="EP3" s="450" t="s">
        <v>252</v>
      </c>
      <c r="EQ3" s="451"/>
      <c r="ER3" s="451"/>
      <c r="ES3" s="451"/>
      <c r="ET3" s="451"/>
      <c r="EU3" s="451"/>
      <c r="EV3" s="451"/>
      <c r="EW3" s="451"/>
      <c r="EX3" s="451"/>
      <c r="EY3" s="451"/>
      <c r="EZ3" s="451"/>
      <c r="FA3" s="451"/>
      <c r="FB3" s="451"/>
      <c r="FC3" s="451"/>
      <c r="FD3" s="451"/>
      <c r="FE3" s="451"/>
      <c r="FF3" s="451"/>
      <c r="FG3" s="451"/>
      <c r="FH3" s="451"/>
      <c r="FI3" s="451"/>
      <c r="FJ3" s="451"/>
      <c r="FK3" s="451"/>
      <c r="FL3" s="451"/>
      <c r="FM3" s="451"/>
      <c r="FN3" s="451"/>
      <c r="FO3" s="451"/>
      <c r="FP3" s="451"/>
      <c r="FQ3" s="451"/>
      <c r="FR3" s="451"/>
      <c r="FS3" s="451"/>
      <c r="FT3" s="451"/>
      <c r="FU3" s="451"/>
      <c r="FV3" s="451"/>
      <c r="FW3" s="451"/>
      <c r="FX3" s="451"/>
      <c r="FY3" s="451"/>
      <c r="GA3" s="450" t="s">
        <v>253</v>
      </c>
      <c r="GB3" s="451"/>
      <c r="GC3" s="451"/>
      <c r="GD3" s="451"/>
      <c r="GE3" s="451"/>
      <c r="GF3" s="451"/>
      <c r="GG3" s="452"/>
      <c r="GI3" s="450" t="s">
        <v>254</v>
      </c>
      <c r="GJ3" s="451"/>
      <c r="GK3" s="451"/>
      <c r="GL3" s="451"/>
      <c r="GM3" s="451"/>
      <c r="GN3" s="451"/>
      <c r="GO3" s="451"/>
      <c r="GP3" s="452"/>
      <c r="GR3" s="450" t="s">
        <v>255</v>
      </c>
      <c r="GS3" s="451"/>
      <c r="GT3" s="451"/>
      <c r="GU3" s="451"/>
      <c r="GV3" s="451"/>
      <c r="GW3" s="452"/>
      <c r="GY3" s="450" t="s">
        <v>211</v>
      </c>
      <c r="GZ3" s="451"/>
      <c r="HA3" s="452"/>
    </row>
    <row r="4" spans="1:209" ht="85.5" x14ac:dyDescent="0.45">
      <c r="A4" s="149" t="s">
        <v>72</v>
      </c>
      <c r="B4" s="154" t="s">
        <v>83</v>
      </c>
      <c r="C4" s="203" t="s">
        <v>331</v>
      </c>
      <c r="D4" s="203" t="s">
        <v>330</v>
      </c>
      <c r="F4" s="228" t="s">
        <v>457</v>
      </c>
      <c r="G4" s="228" t="s">
        <v>458</v>
      </c>
      <c r="H4" s="228" t="s">
        <v>459</v>
      </c>
      <c r="I4" s="180" t="s">
        <v>236</v>
      </c>
      <c r="J4" s="180" t="s">
        <v>237</v>
      </c>
      <c r="K4" s="203" t="s">
        <v>332</v>
      </c>
      <c r="L4" s="192" t="s">
        <v>217</v>
      </c>
      <c r="M4" s="192" t="s">
        <v>266</v>
      </c>
      <c r="N4" s="150" t="s">
        <v>212</v>
      </c>
      <c r="P4" s="228" t="s">
        <v>460</v>
      </c>
      <c r="Q4" s="228" t="s">
        <v>461</v>
      </c>
      <c r="R4" s="188" t="s">
        <v>245</v>
      </c>
      <c r="S4" s="188" t="s">
        <v>246</v>
      </c>
      <c r="T4" s="188" t="s">
        <v>218</v>
      </c>
      <c r="U4" s="188" t="s">
        <v>247</v>
      </c>
      <c r="V4" s="188" t="s">
        <v>248</v>
      </c>
      <c r="X4" s="245" t="s">
        <v>280</v>
      </c>
      <c r="Y4" s="220" t="s">
        <v>462</v>
      </c>
      <c r="Z4" s="193" t="s">
        <v>284</v>
      </c>
      <c r="AA4" s="193" t="s">
        <v>271</v>
      </c>
      <c r="AB4" s="193" t="s">
        <v>463</v>
      </c>
      <c r="AC4" s="220" t="s">
        <v>380</v>
      </c>
      <c r="AD4" s="193" t="s">
        <v>284</v>
      </c>
      <c r="AE4" s="193" t="s">
        <v>271</v>
      </c>
      <c r="AF4" s="193" t="s">
        <v>267</v>
      </c>
      <c r="AG4" s="193" t="s">
        <v>268</v>
      </c>
      <c r="AH4" s="193" t="s">
        <v>269</v>
      </c>
      <c r="AI4" s="193" t="s">
        <v>270</v>
      </c>
      <c r="AJ4" s="198" t="s">
        <v>314</v>
      </c>
      <c r="AK4" s="193" t="s">
        <v>280</v>
      </c>
      <c r="AL4" s="198" t="s">
        <v>315</v>
      </c>
      <c r="AM4" s="198" t="s">
        <v>316</v>
      </c>
      <c r="AN4" s="193" t="s">
        <v>281</v>
      </c>
      <c r="AO4" s="198" t="s">
        <v>295</v>
      </c>
      <c r="AP4" s="193" t="s">
        <v>282</v>
      </c>
      <c r="AQ4" s="198" t="s">
        <v>288</v>
      </c>
      <c r="AR4" s="198" t="s">
        <v>287</v>
      </c>
      <c r="AS4" s="198" t="s">
        <v>286</v>
      </c>
      <c r="AT4" s="198" t="s">
        <v>297</v>
      </c>
      <c r="AU4" s="198" t="s">
        <v>317</v>
      </c>
      <c r="AV4" s="198"/>
      <c r="AW4" s="198" t="s">
        <v>280</v>
      </c>
      <c r="AX4" s="198" t="s">
        <v>281</v>
      </c>
      <c r="AY4" s="198" t="s">
        <v>306</v>
      </c>
      <c r="AZ4" s="198" t="s">
        <v>282</v>
      </c>
      <c r="BA4" s="198" t="s">
        <v>288</v>
      </c>
      <c r="BB4" s="198" t="s">
        <v>287</v>
      </c>
      <c r="BC4" s="198" t="s">
        <v>286</v>
      </c>
      <c r="BD4" s="198" t="s">
        <v>297</v>
      </c>
      <c r="BE4" s="198" t="s">
        <v>317</v>
      </c>
      <c r="BF4" s="203"/>
      <c r="BG4" s="203" t="s">
        <v>280</v>
      </c>
      <c r="BH4" s="203" t="s">
        <v>281</v>
      </c>
      <c r="BI4" s="203" t="s">
        <v>323</v>
      </c>
      <c r="BJ4" s="203" t="s">
        <v>324</v>
      </c>
      <c r="BK4" s="203" t="s">
        <v>288</v>
      </c>
      <c r="BL4" s="203" t="s">
        <v>287</v>
      </c>
      <c r="BM4" s="203" t="s">
        <v>286</v>
      </c>
      <c r="BN4" s="203" t="s">
        <v>297</v>
      </c>
      <c r="BO4" s="203" t="s">
        <v>317</v>
      </c>
      <c r="BP4" s="198"/>
      <c r="BQ4" s="198" t="s">
        <v>280</v>
      </c>
      <c r="BR4" s="198" t="s">
        <v>281</v>
      </c>
      <c r="BS4" s="203" t="s">
        <v>326</v>
      </c>
      <c r="BT4" s="198" t="s">
        <v>324</v>
      </c>
      <c r="BU4" s="198" t="s">
        <v>288</v>
      </c>
      <c r="BV4" s="198" t="s">
        <v>287</v>
      </c>
      <c r="BW4" s="198" t="s">
        <v>286</v>
      </c>
      <c r="BX4" s="198" t="s">
        <v>297</v>
      </c>
      <c r="BY4" s="198" t="s">
        <v>317</v>
      </c>
      <c r="BZ4" s="220"/>
      <c r="CA4" s="220" t="s">
        <v>280</v>
      </c>
      <c r="CB4" s="220" t="s">
        <v>281</v>
      </c>
      <c r="CC4" s="220" t="s">
        <v>379</v>
      </c>
      <c r="CD4" s="220" t="s">
        <v>324</v>
      </c>
      <c r="CE4" s="220" t="s">
        <v>288</v>
      </c>
      <c r="CF4" s="220" t="s">
        <v>287</v>
      </c>
      <c r="CG4" s="220" t="s">
        <v>286</v>
      </c>
      <c r="CH4" s="220" t="s">
        <v>297</v>
      </c>
      <c r="CI4" s="220" t="s">
        <v>317</v>
      </c>
      <c r="CJ4" s="225"/>
      <c r="CK4" s="225" t="s">
        <v>280</v>
      </c>
      <c r="CL4" s="225" t="s">
        <v>281</v>
      </c>
      <c r="CM4" s="225" t="s">
        <v>379</v>
      </c>
      <c r="CN4" s="225" t="s">
        <v>324</v>
      </c>
      <c r="CO4" s="225" t="s">
        <v>288</v>
      </c>
      <c r="CP4" s="225" t="s">
        <v>287</v>
      </c>
      <c r="CQ4" s="225" t="s">
        <v>286</v>
      </c>
      <c r="CR4" s="225" t="s">
        <v>297</v>
      </c>
      <c r="CS4" s="225" t="s">
        <v>317</v>
      </c>
      <c r="CU4" s="198" t="s">
        <v>464</v>
      </c>
      <c r="CV4" s="198" t="s">
        <v>465</v>
      </c>
      <c r="CW4" s="198" t="s">
        <v>466</v>
      </c>
      <c r="CX4" s="198" t="s">
        <v>467</v>
      </c>
      <c r="CY4" s="198" t="s">
        <v>300</v>
      </c>
      <c r="CZ4" s="198" t="s">
        <v>299</v>
      </c>
      <c r="DA4" s="198" t="s">
        <v>301</v>
      </c>
      <c r="DB4" s="198" t="s">
        <v>302</v>
      </c>
      <c r="DC4" s="188" t="s">
        <v>249</v>
      </c>
      <c r="DD4" s="198" t="s">
        <v>303</v>
      </c>
      <c r="DE4" s="198" t="s">
        <v>304</v>
      </c>
      <c r="DF4" s="198" t="s">
        <v>305</v>
      </c>
      <c r="DH4" s="193" t="s">
        <v>468</v>
      </c>
      <c r="DI4" s="193" t="s">
        <v>469</v>
      </c>
      <c r="DJ4" s="193" t="s">
        <v>470</v>
      </c>
      <c r="DK4" s="193" t="s">
        <v>285</v>
      </c>
      <c r="DL4" s="193" t="s">
        <v>163</v>
      </c>
      <c r="DM4" s="193" t="s">
        <v>246</v>
      </c>
      <c r="DO4" s="150" t="str">
        <f>F4</f>
        <v>16-17 Total WAFM Funding Need</v>
      </c>
      <c r="DP4" s="180" t="s">
        <v>235</v>
      </c>
      <c r="DQ4" s="150" t="s">
        <v>183</v>
      </c>
      <c r="DR4" s="150" t="s">
        <v>184</v>
      </c>
      <c r="DS4" s="180" t="s">
        <v>235</v>
      </c>
      <c r="DT4" s="180" t="s">
        <v>234</v>
      </c>
      <c r="DU4" s="150" t="s">
        <v>185</v>
      </c>
      <c r="DV4" s="150" t="s">
        <v>186</v>
      </c>
      <c r="DW4" s="180" t="s">
        <v>234</v>
      </c>
      <c r="DX4" s="180" t="s">
        <v>233</v>
      </c>
      <c r="DY4" s="150" t="s">
        <v>187</v>
      </c>
      <c r="DZ4" s="150" t="s">
        <v>188</v>
      </c>
      <c r="EA4" s="180" t="s">
        <v>233</v>
      </c>
      <c r="EB4" s="180" t="s">
        <v>232</v>
      </c>
      <c r="EC4" s="150" t="s">
        <v>189</v>
      </c>
      <c r="ED4" s="150" t="s">
        <v>190</v>
      </c>
      <c r="EE4" s="245" t="str">
        <f>EB4</f>
        <v>Total WAFM Funding Need (Benefits Update)</v>
      </c>
      <c r="EF4" s="245" t="s">
        <v>416</v>
      </c>
      <c r="EG4" s="245" t="s">
        <v>417</v>
      </c>
      <c r="EH4" s="245" t="s">
        <v>418</v>
      </c>
      <c r="EI4" s="239" t="str">
        <f>EF4</f>
        <v>Total WAFM Funding Need (OE&amp;E Update)</v>
      </c>
      <c r="EJ4" s="239" t="s">
        <v>395</v>
      </c>
      <c r="EK4" s="239" t="s">
        <v>396</v>
      </c>
      <c r="EL4" s="239" t="s">
        <v>424</v>
      </c>
      <c r="EM4" s="180" t="s">
        <v>414</v>
      </c>
      <c r="EN4" s="180" t="s">
        <v>415</v>
      </c>
      <c r="EP4" s="274" t="s">
        <v>513</v>
      </c>
      <c r="EQ4" s="274" t="s">
        <v>230</v>
      </c>
      <c r="ER4" s="150" t="s">
        <v>191</v>
      </c>
      <c r="ES4" s="150" t="s">
        <v>192</v>
      </c>
      <c r="ET4" s="274" t="s">
        <v>514</v>
      </c>
      <c r="EU4" s="274" t="s">
        <v>229</v>
      </c>
      <c r="EV4" s="150" t="s">
        <v>193</v>
      </c>
      <c r="EW4" s="150" t="s">
        <v>194</v>
      </c>
      <c r="EX4" s="150" t="s">
        <v>410</v>
      </c>
      <c r="EY4" s="180" t="s">
        <v>231</v>
      </c>
      <c r="EZ4" s="150" t="s">
        <v>195</v>
      </c>
      <c r="FA4" s="150" t="s">
        <v>196</v>
      </c>
      <c r="FB4" s="180" t="s">
        <v>230</v>
      </c>
      <c r="FC4" s="180" t="s">
        <v>228</v>
      </c>
      <c r="FD4" s="150" t="s">
        <v>197</v>
      </c>
      <c r="FE4" s="150" t="s">
        <v>198</v>
      </c>
      <c r="FF4" s="180" t="s">
        <v>229</v>
      </c>
      <c r="FG4" s="180" t="s">
        <v>225</v>
      </c>
      <c r="FH4" s="150" t="s">
        <v>199</v>
      </c>
      <c r="FI4" s="150" t="s">
        <v>200</v>
      </c>
      <c r="FJ4" s="180" t="s">
        <v>228</v>
      </c>
      <c r="FK4" s="180" t="s">
        <v>227</v>
      </c>
      <c r="FL4" s="150" t="s">
        <v>201</v>
      </c>
      <c r="FM4" s="150" t="s">
        <v>202</v>
      </c>
      <c r="FN4" s="180" t="s">
        <v>225</v>
      </c>
      <c r="FO4" s="180" t="s">
        <v>224</v>
      </c>
      <c r="FP4" s="150" t="s">
        <v>203</v>
      </c>
      <c r="FQ4" s="150" t="s">
        <v>204</v>
      </c>
      <c r="FR4" s="150" t="str">
        <f>FO4</f>
        <v>Total Benefit Need (BLS Update)</v>
      </c>
      <c r="FS4" s="180" t="s">
        <v>226</v>
      </c>
      <c r="FT4" s="150" t="s">
        <v>205</v>
      </c>
      <c r="FU4" s="150" t="s">
        <v>206</v>
      </c>
      <c r="FV4" s="245" t="str">
        <f>EY4</f>
        <v>Estimated OE&amp;E Needed (RAS Update)</v>
      </c>
      <c r="FW4" s="245" t="s">
        <v>411</v>
      </c>
      <c r="FX4" s="245" t="s">
        <v>412</v>
      </c>
      <c r="FY4" s="245" t="s">
        <v>413</v>
      </c>
      <c r="GA4" s="150" t="str">
        <f>EP4</f>
        <v>16-17 Pre-Benefits Adjusted Base</v>
      </c>
      <c r="GB4" s="150" t="str">
        <f>ER4</f>
        <v>Change in Pre-Benefits Adjusted Base (RAS Update)</v>
      </c>
      <c r="GC4" s="150" t="str">
        <f>FD4</f>
        <v>Change in Pre-Benefits Adjusted Base (Salary Update)</v>
      </c>
      <c r="GD4" s="150" t="str">
        <f>FL4</f>
        <v>Change in Pre-Benefits Adjusted Base (BLS Update)</v>
      </c>
      <c r="GE4" s="150" t="s">
        <v>207</v>
      </c>
      <c r="GF4" s="180" t="s">
        <v>74</v>
      </c>
      <c r="GG4" s="150" t="s">
        <v>208</v>
      </c>
      <c r="GI4" s="150" t="str">
        <f>ET4</f>
        <v>16-17 Total Benefit Need</v>
      </c>
      <c r="GJ4" s="150" t="str">
        <f>EV4</f>
        <v>Change in Total Benefit Need (RAS Update)</v>
      </c>
      <c r="GK4" s="150" t="str">
        <f>FH4</f>
        <v>Change in Total Benefit Need (Salary Update)</v>
      </c>
      <c r="GL4" s="150" t="str">
        <f>FP4</f>
        <v>Change in Total Benefit Need (BLS Update)</v>
      </c>
      <c r="GM4" s="150" t="str">
        <f>FT4</f>
        <v>Change in Total Benefit Need (Benefits Update)</v>
      </c>
      <c r="GN4" s="150" t="s">
        <v>209</v>
      </c>
      <c r="GO4" s="180" t="s">
        <v>220</v>
      </c>
      <c r="GP4" s="150" t="s">
        <v>210</v>
      </c>
      <c r="GR4" s="274" t="s">
        <v>515</v>
      </c>
      <c r="GS4" s="274" t="s">
        <v>195</v>
      </c>
      <c r="GT4" s="274" t="s">
        <v>412</v>
      </c>
      <c r="GU4" s="274" t="s">
        <v>221</v>
      </c>
      <c r="GV4" s="274" t="s">
        <v>222</v>
      </c>
      <c r="GW4" s="274" t="s">
        <v>223</v>
      </c>
      <c r="GY4" s="274" t="s">
        <v>516</v>
      </c>
      <c r="GZ4" s="274" t="s">
        <v>400</v>
      </c>
      <c r="HA4" s="274" t="s">
        <v>211</v>
      </c>
    </row>
    <row r="5" spans="1:209" x14ac:dyDescent="0.45">
      <c r="A5" s="149"/>
      <c r="B5" s="154"/>
      <c r="C5" s="209"/>
      <c r="D5" s="210"/>
      <c r="F5" s="209"/>
      <c r="G5" s="210"/>
      <c r="H5" s="210"/>
      <c r="I5" s="198"/>
      <c r="J5" s="198"/>
      <c r="K5" s="203"/>
      <c r="L5" s="198"/>
      <c r="M5" s="198"/>
      <c r="N5" s="198"/>
      <c r="P5" s="209"/>
      <c r="Q5" s="210"/>
      <c r="R5" s="198"/>
      <c r="S5" s="198"/>
      <c r="T5" s="198"/>
      <c r="U5" s="198"/>
      <c r="V5" s="198"/>
      <c r="X5" s="245"/>
      <c r="Y5" s="209"/>
      <c r="Z5" s="209"/>
      <c r="AA5" s="209"/>
      <c r="AB5" s="210"/>
      <c r="AC5" s="198"/>
      <c r="AD5" s="198"/>
      <c r="AE5" s="198"/>
      <c r="AF5" s="198"/>
      <c r="AG5" s="198"/>
      <c r="AH5" s="198"/>
      <c r="AI5" s="198"/>
      <c r="AJ5" s="209"/>
      <c r="AK5" s="198"/>
      <c r="AL5" s="198"/>
      <c r="AM5" s="198"/>
      <c r="AN5" s="198"/>
      <c r="AO5" s="198"/>
      <c r="AP5" s="198"/>
      <c r="AQ5" s="198"/>
      <c r="AR5" s="198"/>
      <c r="AS5" s="198"/>
      <c r="AT5" s="198"/>
      <c r="AU5" s="198"/>
      <c r="AV5" s="198"/>
      <c r="AW5" s="198"/>
      <c r="AX5" s="198"/>
      <c r="AY5" s="209"/>
      <c r="AZ5" s="198"/>
      <c r="BA5" s="198"/>
      <c r="BB5" s="198"/>
      <c r="BC5" s="198"/>
      <c r="BD5" s="198"/>
      <c r="BE5" s="198"/>
      <c r="BF5" s="203"/>
      <c r="BG5" s="203"/>
      <c r="BH5" s="203"/>
      <c r="BI5" s="209"/>
      <c r="BJ5" s="203"/>
      <c r="BK5" s="203"/>
      <c r="BL5" s="203"/>
      <c r="BM5" s="203"/>
      <c r="BN5" s="203"/>
      <c r="BO5" s="203"/>
      <c r="BP5" s="198"/>
      <c r="BQ5" s="198"/>
      <c r="BR5" s="198"/>
      <c r="BS5" s="209"/>
      <c r="BT5" s="198"/>
      <c r="BU5" s="198"/>
      <c r="BV5" s="198"/>
      <c r="BW5" s="198"/>
      <c r="BX5" s="198"/>
      <c r="BY5" s="198"/>
      <c r="BZ5" s="220"/>
      <c r="CA5" s="220"/>
      <c r="CB5" s="220"/>
      <c r="CC5" s="209"/>
      <c r="CD5" s="220"/>
      <c r="CE5" s="220"/>
      <c r="CF5" s="220"/>
      <c r="CG5" s="220"/>
      <c r="CH5" s="220"/>
      <c r="CI5" s="220"/>
      <c r="CJ5" s="225"/>
      <c r="CK5" s="225"/>
      <c r="CL5" s="225"/>
      <c r="CM5" s="209"/>
      <c r="CN5" s="225"/>
      <c r="CO5" s="225"/>
      <c r="CP5" s="225"/>
      <c r="CQ5" s="225"/>
      <c r="CR5" s="225"/>
      <c r="CS5" s="225"/>
      <c r="CU5" s="209"/>
      <c r="CV5" s="209"/>
      <c r="CW5" s="209"/>
      <c r="CX5" s="209"/>
      <c r="CY5" s="198"/>
      <c r="CZ5" s="198"/>
      <c r="DA5" s="198"/>
      <c r="DB5" s="198"/>
      <c r="DC5" s="198"/>
      <c r="DD5" s="198"/>
      <c r="DE5" s="198"/>
      <c r="DF5" s="198"/>
      <c r="DH5" s="209"/>
      <c r="DI5" s="209"/>
      <c r="DJ5" s="210"/>
      <c r="DK5" s="198"/>
      <c r="DL5" s="198"/>
      <c r="DM5" s="198"/>
      <c r="DO5" s="209"/>
      <c r="DP5" s="209"/>
      <c r="DQ5" s="198"/>
      <c r="DR5" s="198"/>
      <c r="DS5" s="198"/>
      <c r="DT5" s="209"/>
      <c r="DU5" s="198"/>
      <c r="DV5" s="198"/>
      <c r="DW5" s="198"/>
      <c r="DX5" s="209"/>
      <c r="DY5" s="198"/>
      <c r="DZ5" s="198"/>
      <c r="EA5" s="198"/>
      <c r="EB5" s="209"/>
      <c r="EC5" s="198"/>
      <c r="ED5" s="198"/>
      <c r="EE5" s="245"/>
      <c r="EF5" s="209"/>
      <c r="EG5" s="245"/>
      <c r="EH5" s="245"/>
      <c r="EI5" s="239"/>
      <c r="EJ5" s="209"/>
      <c r="EK5" s="239"/>
      <c r="EL5" s="239"/>
      <c r="EM5" s="210"/>
      <c r="EN5" s="210"/>
      <c r="EP5" s="275"/>
      <c r="EQ5" s="275"/>
      <c r="ER5" s="198"/>
      <c r="ES5" s="198"/>
      <c r="ET5" s="275"/>
      <c r="EU5" s="275"/>
      <c r="EV5" s="198"/>
      <c r="EW5" s="198"/>
      <c r="EX5" s="209"/>
      <c r="EY5" s="209"/>
      <c r="EZ5" s="198"/>
      <c r="FA5" s="198"/>
      <c r="FB5" s="198"/>
      <c r="FC5" s="209"/>
      <c r="FD5" s="198"/>
      <c r="FE5" s="198"/>
      <c r="FF5" s="198"/>
      <c r="FG5" s="209"/>
      <c r="FH5" s="198"/>
      <c r="FI5" s="198"/>
      <c r="FJ5" s="198"/>
      <c r="FK5" s="209"/>
      <c r="FL5" s="198"/>
      <c r="FM5" s="198"/>
      <c r="FN5" s="198"/>
      <c r="FO5" s="209"/>
      <c r="FP5" s="198"/>
      <c r="FQ5" s="198"/>
      <c r="FR5" s="198"/>
      <c r="FS5" s="209"/>
      <c r="FT5" s="198"/>
      <c r="FU5" s="198"/>
      <c r="FV5" s="245"/>
      <c r="FW5" s="209"/>
      <c r="FX5" s="245"/>
      <c r="FY5" s="245"/>
      <c r="GA5" s="198"/>
      <c r="GB5" s="198"/>
      <c r="GC5" s="198"/>
      <c r="GD5" s="198"/>
      <c r="GE5" s="198"/>
      <c r="GF5" s="198"/>
      <c r="GG5" s="198"/>
      <c r="GI5" s="198"/>
      <c r="GJ5" s="198"/>
      <c r="GK5" s="198"/>
      <c r="GL5" s="198"/>
      <c r="GM5" s="198"/>
      <c r="GN5" s="198"/>
      <c r="GO5" s="198"/>
      <c r="GP5" s="198"/>
      <c r="GR5" s="198"/>
      <c r="GS5" s="198"/>
      <c r="GT5" s="245"/>
      <c r="GU5" s="198"/>
      <c r="GV5" s="198"/>
      <c r="GW5" s="198"/>
      <c r="GY5" s="209"/>
      <c r="GZ5" s="239"/>
      <c r="HA5" s="198"/>
    </row>
    <row r="6" spans="1:209" ht="28.5" customHeight="1" x14ac:dyDescent="0.4">
      <c r="A6" s="149"/>
      <c r="B6" s="154"/>
      <c r="C6" s="221" t="s">
        <v>68</v>
      </c>
      <c r="D6" s="221" t="s">
        <v>1</v>
      </c>
      <c r="E6" s="222"/>
      <c r="F6" s="221" t="s">
        <v>69</v>
      </c>
      <c r="G6" s="221" t="s">
        <v>2</v>
      </c>
      <c r="H6" s="221" t="s">
        <v>333</v>
      </c>
      <c r="I6" s="221" t="s">
        <v>142</v>
      </c>
      <c r="J6" s="221" t="s">
        <v>70</v>
      </c>
      <c r="K6" s="221" t="s">
        <v>334</v>
      </c>
      <c r="L6" s="221" t="s">
        <v>335</v>
      </c>
      <c r="M6" s="221" t="s">
        <v>336</v>
      </c>
      <c r="N6" s="221" t="s">
        <v>337</v>
      </c>
      <c r="O6" s="222"/>
      <c r="P6" s="221" t="s">
        <v>147</v>
      </c>
      <c r="Q6" s="221" t="s">
        <v>132</v>
      </c>
      <c r="R6" s="221" t="s">
        <v>148</v>
      </c>
      <c r="S6" s="221" t="s">
        <v>73</v>
      </c>
      <c r="T6" s="221" t="s">
        <v>338</v>
      </c>
      <c r="U6" s="221" t="s">
        <v>339</v>
      </c>
      <c r="V6" s="221" t="s">
        <v>340</v>
      </c>
      <c r="W6" s="222"/>
      <c r="X6" s="221"/>
      <c r="Y6" s="221" t="s">
        <v>167</v>
      </c>
      <c r="Z6" s="221" t="s">
        <v>169</v>
      </c>
      <c r="AA6" s="221" t="s">
        <v>170</v>
      </c>
      <c r="AB6" s="221" t="s">
        <v>182</v>
      </c>
      <c r="AC6" s="221" t="s">
        <v>213</v>
      </c>
      <c r="AD6" s="221" t="s">
        <v>214</v>
      </c>
      <c r="AE6" s="221" t="s">
        <v>241</v>
      </c>
      <c r="AF6" s="221" t="s">
        <v>341</v>
      </c>
      <c r="AG6" s="221" t="s">
        <v>342</v>
      </c>
      <c r="AH6" s="221" t="s">
        <v>343</v>
      </c>
      <c r="AI6" s="221" t="s">
        <v>344</v>
      </c>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2"/>
      <c r="CU6" s="221" t="s">
        <v>345</v>
      </c>
      <c r="CV6" s="221" t="s">
        <v>346</v>
      </c>
      <c r="CW6" s="221" t="s">
        <v>347</v>
      </c>
      <c r="CX6" s="221" t="s">
        <v>348</v>
      </c>
      <c r="CY6" s="221" t="s">
        <v>349</v>
      </c>
      <c r="CZ6" s="221" t="s">
        <v>350</v>
      </c>
      <c r="DA6" s="221" t="s">
        <v>351</v>
      </c>
      <c r="DB6" s="221" t="s">
        <v>352</v>
      </c>
      <c r="DC6" s="221" t="s">
        <v>353</v>
      </c>
      <c r="DD6" s="221" t="s">
        <v>354</v>
      </c>
      <c r="DE6" s="221" t="s">
        <v>355</v>
      </c>
      <c r="DF6" s="221" t="s">
        <v>356</v>
      </c>
      <c r="DG6" s="222"/>
      <c r="DH6" s="221" t="s">
        <v>357</v>
      </c>
      <c r="DI6" s="221" t="s">
        <v>358</v>
      </c>
      <c r="DJ6" s="221" t="s">
        <v>359</v>
      </c>
      <c r="DK6" s="221" t="s">
        <v>360</v>
      </c>
      <c r="DL6" s="221" t="s">
        <v>361</v>
      </c>
      <c r="DM6" s="221" t="s">
        <v>362</v>
      </c>
      <c r="DN6" s="222"/>
      <c r="DO6" s="221" t="s">
        <v>363</v>
      </c>
      <c r="DP6" s="221" t="s">
        <v>364</v>
      </c>
      <c r="DQ6" s="221" t="s">
        <v>368</v>
      </c>
      <c r="DR6" s="221" t="s">
        <v>369</v>
      </c>
      <c r="DS6" s="221" t="s">
        <v>370</v>
      </c>
      <c r="DT6" s="221" t="s">
        <v>365</v>
      </c>
      <c r="DU6" s="221" t="s">
        <v>371</v>
      </c>
      <c r="DV6" s="221" t="s">
        <v>372</v>
      </c>
      <c r="DW6" s="221" t="s">
        <v>373</v>
      </c>
      <c r="DX6" s="221" t="s">
        <v>366</v>
      </c>
      <c r="DY6" s="221" t="s">
        <v>374</v>
      </c>
      <c r="DZ6" s="221" t="s">
        <v>375</v>
      </c>
      <c r="EA6" s="221" t="s">
        <v>376</v>
      </c>
      <c r="EB6" s="221" t="s">
        <v>367</v>
      </c>
      <c r="EC6" s="221" t="s">
        <v>377</v>
      </c>
      <c r="ED6" s="221" t="s">
        <v>378</v>
      </c>
      <c r="EE6" s="221" t="s">
        <v>393</v>
      </c>
      <c r="EF6" s="221" t="s">
        <v>394</v>
      </c>
      <c r="EG6" s="221" t="s">
        <v>422</v>
      </c>
      <c r="EH6" s="221" t="s">
        <v>397</v>
      </c>
      <c r="EI6" s="221" t="s">
        <v>419</v>
      </c>
      <c r="EJ6" s="221" t="s">
        <v>420</v>
      </c>
      <c r="EK6" s="221" t="s">
        <v>421</v>
      </c>
      <c r="EL6" s="221" t="s">
        <v>423</v>
      </c>
      <c r="EM6" s="221" t="s">
        <v>398</v>
      </c>
      <c r="EN6" s="221" t="s">
        <v>399</v>
      </c>
      <c r="EO6" s="223"/>
      <c r="EP6" s="276"/>
      <c r="EQ6" s="276"/>
      <c r="ER6" s="221"/>
      <c r="ES6" s="221"/>
      <c r="ET6" s="276"/>
      <c r="EU6" s="276"/>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3"/>
      <c r="GA6" s="221"/>
      <c r="GB6" s="221"/>
      <c r="GC6" s="221"/>
      <c r="GD6" s="221"/>
      <c r="GE6" s="221"/>
      <c r="GF6" s="221"/>
      <c r="GG6" s="221"/>
      <c r="GH6" s="223"/>
      <c r="GI6" s="221"/>
      <c r="GJ6" s="221"/>
      <c r="GK6" s="221"/>
      <c r="GL6" s="221"/>
      <c r="GM6" s="221"/>
      <c r="GN6" s="221"/>
      <c r="GO6" s="221"/>
      <c r="GP6" s="221"/>
      <c r="GQ6" s="223"/>
      <c r="GR6" s="221"/>
      <c r="GS6" s="221"/>
      <c r="GT6" s="221"/>
      <c r="GU6" s="221"/>
      <c r="GV6" s="221"/>
      <c r="GW6" s="221"/>
      <c r="GX6" s="223"/>
      <c r="GY6" s="221"/>
      <c r="GZ6" s="221"/>
      <c r="HA6" s="221"/>
    </row>
    <row r="7" spans="1:209" ht="15" customHeight="1" x14ac:dyDescent="0.45">
      <c r="A7" s="148">
        <v>4</v>
      </c>
      <c r="B7" s="212" t="s">
        <v>53</v>
      </c>
      <c r="C7" s="172">
        <v>69586867.013737351</v>
      </c>
      <c r="D7" s="173">
        <f t="shared" ref="D7:D65" si="0">C7/C$65</f>
        <v>4.8307843371362374E-2</v>
      </c>
      <c r="E7" s="1"/>
      <c r="F7" s="252">
        <v>86595579.572441056</v>
      </c>
      <c r="G7" s="173">
        <f t="shared" ref="G7:G65" si="1">F7/F$65</f>
        <v>3.6847293306701778E-2</v>
      </c>
      <c r="H7" s="173">
        <f>G7/D7</f>
        <v>0.76276005582450435</v>
      </c>
      <c r="I7" s="172" t="e">
        <f>VLOOKUP($B7,#REF!,24,FALSE)</f>
        <v>#REF!</v>
      </c>
      <c r="J7" s="173" t="e">
        <f t="shared" ref="J7:J38" si="2">I7/I$65</f>
        <v>#REF!</v>
      </c>
      <c r="K7" s="173" t="e">
        <f>J7/D7</f>
        <v>#REF!</v>
      </c>
      <c r="L7" s="172" t="e">
        <f>I7-F7</f>
        <v>#REF!</v>
      </c>
      <c r="M7" s="173" t="e">
        <f>L7/F7</f>
        <v>#REF!</v>
      </c>
      <c r="N7" s="173" t="e">
        <f>(J7-G7)/G7</f>
        <v>#REF!</v>
      </c>
      <c r="O7" s="176"/>
      <c r="P7" s="253">
        <v>589</v>
      </c>
      <c r="Q7" s="173">
        <f t="shared" ref="Q7:Q38" si="3">P7/P$65</f>
        <v>3.2762264990544E-2</v>
      </c>
      <c r="R7" s="172" t="e">
        <f>VLOOKUP($B7,#REF!,4,FALSE)</f>
        <v>#REF!</v>
      </c>
      <c r="S7" s="173" t="e">
        <f t="shared" ref="S7:S38" si="4">R7/R$65</f>
        <v>#REF!</v>
      </c>
      <c r="T7" s="172" t="e">
        <f>R7-P7</f>
        <v>#REF!</v>
      </c>
      <c r="U7" s="173" t="e">
        <f>T7/P7</f>
        <v>#REF!</v>
      </c>
      <c r="V7" s="173" t="e">
        <f>(S7-Q7)/Q7</f>
        <v>#REF!</v>
      </c>
      <c r="W7" s="1"/>
      <c r="X7" s="189">
        <f>VLOOKUP($B7,'Average RAS salary'!$A$5:$D$62,4,FALSE)</f>
        <v>73373.456451112943</v>
      </c>
      <c r="Y7" s="253">
        <v>83109.489645449605</v>
      </c>
      <c r="Z7" s="252" t="s">
        <v>272</v>
      </c>
      <c r="AA7" s="252" t="s">
        <v>272</v>
      </c>
      <c r="AB7" s="173">
        <f t="shared" ref="AB7:AB65" si="5">Y7/Y$65</f>
        <v>1.4246718027633565</v>
      </c>
      <c r="AC7" s="172" t="e">
        <f>VLOOKUP($B7,#REF!,3,FALSE)</f>
        <v>#REF!</v>
      </c>
      <c r="AD7" s="172" t="e">
        <f>VLOOKUP($B7,#REF!,5,FALSE)</f>
        <v>#REF!</v>
      </c>
      <c r="AE7" s="172" t="e">
        <f>VLOOKUP($B7,#REF!,6,FALSE)</f>
        <v>#REF!</v>
      </c>
      <c r="AF7" s="173" t="e">
        <f t="shared" ref="AF7:AF65" si="6">AC7/AC$65</f>
        <v>#REF!</v>
      </c>
      <c r="AG7" s="172" t="e">
        <f>AC7-Y7</f>
        <v>#REF!</v>
      </c>
      <c r="AH7" s="173" t="e">
        <f t="shared" ref="AH7:AH38" si="7">AG7/Y7</f>
        <v>#REF!</v>
      </c>
      <c r="AI7" s="173" t="e">
        <f t="shared" ref="AI7:AI38" si="8">(AF7-AB7)/AB7</f>
        <v>#REF!</v>
      </c>
      <c r="AJ7" s="189">
        <v>70227.817536733244</v>
      </c>
      <c r="AK7" s="189">
        <f>VLOOKUP($B7,'Average RAS salary'!$A$5:$D$62,4,FALSE)</f>
        <v>73373.456451112943</v>
      </c>
      <c r="AL7" s="189">
        <f>AK7-AJ7</f>
        <v>3145.6389143796987</v>
      </c>
      <c r="AM7" s="173">
        <f>AL7/AJ7</f>
        <v>4.4791921843995025E-2</v>
      </c>
      <c r="AN7" s="189" t="e">
        <f>AK7*(R7-1)</f>
        <v>#REF!</v>
      </c>
      <c r="AO7" s="189" t="e">
        <f>IF(AE7="Yes",$AC$66,AC7)</f>
        <v>#REF!</v>
      </c>
      <c r="AP7" s="189" t="e">
        <f>AO7*(R7-1)</f>
        <v>#REF!</v>
      </c>
      <c r="AQ7" s="189" t="e">
        <f>IF($AP7-$AN7&gt;=0,$AP7-$AN7,"")</f>
        <v>#REF!</v>
      </c>
      <c r="AR7" s="189" t="e">
        <f>IF($AP7-$AN7&lt;0,$AP7-$AN7,"")</f>
        <v>#REF!</v>
      </c>
      <c r="AS7" s="189" t="e">
        <f t="shared" ref="AS7:AS38" si="9">SUM(AQ7:AR7)</f>
        <v>#REF!</v>
      </c>
      <c r="AT7" s="213" t="e">
        <f>AO7-AK7</f>
        <v>#REF!</v>
      </c>
      <c r="AU7" s="173" t="e">
        <f>AT7/AK7</f>
        <v>#REF!</v>
      </c>
      <c r="AV7" s="189"/>
      <c r="AW7" s="189">
        <f>VLOOKUP($B7,'Average RAS salary'!$A$5:$D$62,4,FALSE)</f>
        <v>73373.456451112943</v>
      </c>
      <c r="AX7" s="189" t="e">
        <f t="shared" ref="AX7:AX38" si="10">AW7*(R7-1)</f>
        <v>#REF!</v>
      </c>
      <c r="AY7" s="189">
        <v>73460.778734829539</v>
      </c>
      <c r="AZ7" s="189" t="e">
        <f t="shared" ref="AZ7:AZ38" si="11">AY7*(R7-1)</f>
        <v>#REF!</v>
      </c>
      <c r="BA7" s="189" t="e">
        <f>IF($AZ7-$AX7&gt;=0,$AZ7-$AX7,"")</f>
        <v>#REF!</v>
      </c>
      <c r="BB7" s="189" t="e">
        <f>IF($AZ7-$AX7&lt;0,$AZ7-$AX7,"")</f>
        <v>#REF!</v>
      </c>
      <c r="BC7" s="189" t="e">
        <f>SUM(BA7:BB7)</f>
        <v>#REF!</v>
      </c>
      <c r="BD7" s="213">
        <f>AY7-AW7</f>
        <v>87.322283716595848</v>
      </c>
      <c r="BE7" s="173">
        <f>BD7/AW7</f>
        <v>1.1901072668530574E-3</v>
      </c>
      <c r="BF7" s="189"/>
      <c r="BG7" s="189">
        <f>VLOOKUP($B7,'Average RAS salary'!$A$5:$D$62,4,FALSE)</f>
        <v>73373.456451112943</v>
      </c>
      <c r="BH7" s="189" t="e">
        <f>BG7*($R7-1)</f>
        <v>#REF!</v>
      </c>
      <c r="BI7" s="189" t="e">
        <f>VLOOKUP($B7,#REF!,19,FALSE)*$BG$65</f>
        <v>#REF!</v>
      </c>
      <c r="BJ7" s="189" t="e">
        <f>BI7*($R7-1)</f>
        <v>#REF!</v>
      </c>
      <c r="BK7" s="189" t="e">
        <f t="shared" ref="BK7:BK38" si="12">IF($BJ7-$BH7&gt;=0,$BJ7-$BH7,"")</f>
        <v>#REF!</v>
      </c>
      <c r="BL7" s="189" t="e">
        <f t="shared" ref="BL7:BL38" si="13">IF($BJ7-$BH7&lt;0,$BJ7-$BH7,"")</f>
        <v>#REF!</v>
      </c>
      <c r="BM7" s="189" t="e">
        <f>SUM(BK7:BL7)</f>
        <v>#REF!</v>
      </c>
      <c r="BN7" s="213" t="e">
        <f>BI7-BG7</f>
        <v>#REF!</v>
      </c>
      <c r="BO7" s="173" t="e">
        <f>BN7/BG7</f>
        <v>#REF!</v>
      </c>
      <c r="BP7" s="189"/>
      <c r="BQ7" s="189">
        <f>VLOOKUP($B7,'Average RAS salary'!$A$5:$D$62,4,FALSE)</f>
        <v>73373.456451112943</v>
      </c>
      <c r="BR7" s="189" t="e">
        <f>BQ7*($R7-1)</f>
        <v>#REF!</v>
      </c>
      <c r="BS7" s="189" t="e">
        <f>VLOOKUP($B7,#REF!,19,FALSE)*$BQ$65</f>
        <v>#REF!</v>
      </c>
      <c r="BT7" s="189" t="e">
        <f>BS7*($R7-1)</f>
        <v>#REF!</v>
      </c>
      <c r="BU7" s="189" t="e">
        <f>IF($BT7-$BR7&gt;=0,$BT7-$BR7,"")</f>
        <v>#REF!</v>
      </c>
      <c r="BV7" s="189" t="e">
        <f>IF($BT7-$BR7&lt;0,$BT7-$BR7,"")</f>
        <v>#REF!</v>
      </c>
      <c r="BW7" s="189" t="e">
        <f>SUM(BU7:BV7)</f>
        <v>#REF!</v>
      </c>
      <c r="BX7" s="213" t="e">
        <f>BS7-BQ7</f>
        <v>#REF!</v>
      </c>
      <c r="BY7" s="173" t="e">
        <f>BX7/BQ7</f>
        <v>#REF!</v>
      </c>
      <c r="BZ7" s="189"/>
      <c r="CA7" s="189">
        <f>VLOOKUP($B7,'Average RAS salary'!$A$5:$D$62,4,FALSE)</f>
        <v>73373.456451112943</v>
      </c>
      <c r="CB7" s="189" t="e">
        <f>CA7*($R7-1)</f>
        <v>#REF!</v>
      </c>
      <c r="CC7" s="189" t="e">
        <f>IF(VLOOKUP($B7,#REF!,7,FALSE)&gt;VLOOKUP($B7,#REF!,19,FALSE)*$CA$65,VLOOKUP($B7,#REF!,19,FALSE)*$CA$65,VLOOKUP($B7,#REF!,7,FALSE))</f>
        <v>#REF!</v>
      </c>
      <c r="CD7" s="189" t="e">
        <f>CC7*($R7-1)</f>
        <v>#REF!</v>
      </c>
      <c r="CE7" s="189" t="e">
        <f>IF(CD7-CB7&gt;=0,CD7-CB7,"")</f>
        <v>#REF!</v>
      </c>
      <c r="CF7" s="189" t="e">
        <f>IF(CD7-CB7&lt;0,CD7-CB7,"")</f>
        <v>#REF!</v>
      </c>
      <c r="CG7" s="189" t="e">
        <f>SUM(CE7:CF7)</f>
        <v>#REF!</v>
      </c>
      <c r="CH7" s="213" t="e">
        <f>CC7-CA7</f>
        <v>#REF!</v>
      </c>
      <c r="CI7" s="173" t="e">
        <f>CH7/CA7</f>
        <v>#REF!</v>
      </c>
      <c r="CJ7" s="189"/>
      <c r="CK7" s="189">
        <f>VLOOKUP($B7,'Average RAS salary'!$A$5:$D$62,4,FALSE)</f>
        <v>73373.456451112943</v>
      </c>
      <c r="CL7" s="189" t="e">
        <f>CK7*($R7-1)</f>
        <v>#REF!</v>
      </c>
      <c r="CM7" s="189" t="e">
        <f>IF($AY7&gt;VLOOKUP($B7,#REF!,19,FALSE)*$CK$65,VLOOKUP($B7,#REF!,19,FALSE)*$CK$65,$AY7)</f>
        <v>#REF!</v>
      </c>
      <c r="CN7" s="189" t="e">
        <f>CM7*($R7-1)</f>
        <v>#REF!</v>
      </c>
      <c r="CO7" s="189" t="e">
        <f>IF(CN7-CL7&gt;=0,CN7-CL7,"")</f>
        <v>#REF!</v>
      </c>
      <c r="CP7" s="189" t="e">
        <f>IF(CN7-CL7&lt;0,CN7-CL7,"")</f>
        <v>#REF!</v>
      </c>
      <c r="CQ7" s="189" t="e">
        <f>SUM(CO7:CP7)</f>
        <v>#REF!</v>
      </c>
      <c r="CR7" s="213" t="e">
        <f>CM7-CK7</f>
        <v>#REF!</v>
      </c>
      <c r="CS7" s="173" t="e">
        <f>CR7/CK7</f>
        <v>#REF!</v>
      </c>
      <c r="CT7" s="1"/>
      <c r="CU7" s="254">
        <v>0.37658727568995642</v>
      </c>
      <c r="CV7" s="252">
        <v>13709.232458198974</v>
      </c>
      <c r="CW7" s="254">
        <v>0.38091544492963536</v>
      </c>
      <c r="CX7" s="255">
        <v>13773.829999999982</v>
      </c>
      <c r="CY7" s="190" t="e">
        <f>VLOOKUP($B7,#REF!,13,FALSE)</f>
        <v>#REF!</v>
      </c>
      <c r="CZ7" s="172" t="e">
        <f>VLOOKUP($B7,#REF!,14,FALSE)</f>
        <v>#REF!</v>
      </c>
      <c r="DA7" s="190" t="e">
        <f>VLOOKUP($B7,#REF!,15,FALSE)</f>
        <v>#REF!</v>
      </c>
      <c r="DB7" s="189" t="e">
        <f>VLOOKUP($B7,#REF!,16,FALSE)</f>
        <v>#REF!</v>
      </c>
      <c r="DC7" s="190" t="e">
        <f>(CY7-CU7)/CU7</f>
        <v>#REF!</v>
      </c>
      <c r="DD7" s="190" t="e">
        <f t="shared" ref="DD7:DF7" si="14">(CZ7-CV7)/CV7</f>
        <v>#REF!</v>
      </c>
      <c r="DE7" s="190" t="e">
        <f t="shared" si="14"/>
        <v>#REF!</v>
      </c>
      <c r="DF7" s="190" t="e">
        <f t="shared" si="14"/>
        <v>#REF!</v>
      </c>
      <c r="DG7" s="1"/>
      <c r="DH7" s="253" t="s">
        <v>272</v>
      </c>
      <c r="DI7" s="253">
        <v>0</v>
      </c>
      <c r="DJ7" s="173">
        <f>DI7/DI$65</f>
        <v>0</v>
      </c>
      <c r="DK7" s="172" t="e">
        <f>IF(VLOOKUP($B7,#REF!,6,FALSE)="Y","Yes","")</f>
        <v>#REF!</v>
      </c>
      <c r="DL7" s="172" t="e">
        <f>VLOOKUP($B7,#REF!,4,FALSE)</f>
        <v>#REF!</v>
      </c>
      <c r="DM7" s="173" t="e">
        <f t="shared" ref="DM7:DM38" si="15">DL7/DL$65</f>
        <v>#REF!</v>
      </c>
      <c r="DN7" s="1"/>
      <c r="DO7" s="172">
        <f>F7</f>
        <v>86595579.572441056</v>
      </c>
      <c r="DP7" s="252">
        <v>83987313.483067885</v>
      </c>
      <c r="DQ7" s="172">
        <f>DP7-DO7</f>
        <v>-2608266.0893731713</v>
      </c>
      <c r="DR7" s="173">
        <f t="shared" ref="DR7:DR38" si="16">DQ7/DO7</f>
        <v>-3.0120083522176103E-2</v>
      </c>
      <c r="DS7" s="172">
        <f>DP7</f>
        <v>83987313.483067885</v>
      </c>
      <c r="DT7" s="252">
        <v>85660419.0198396</v>
      </c>
      <c r="DU7" s="172">
        <f>DT7-DS7</f>
        <v>1673105.5367717147</v>
      </c>
      <c r="DV7" s="173">
        <f>DU7/DO7</f>
        <v>1.9320911587318235E-2</v>
      </c>
      <c r="DW7" s="172">
        <f>DT7</f>
        <v>85660419.0198396</v>
      </c>
      <c r="DX7" s="252">
        <v>85806443.54633145</v>
      </c>
      <c r="DY7" s="172">
        <f>DX7-DW7</f>
        <v>146024.52649185061</v>
      </c>
      <c r="DZ7" s="173">
        <f>DY7/DO7</f>
        <v>1.6862815309145729E-3</v>
      </c>
      <c r="EA7" s="172">
        <f>DX7</f>
        <v>85806443.54633145</v>
      </c>
      <c r="EB7" s="252">
        <v>86170464.392406896</v>
      </c>
      <c r="EC7" s="172">
        <f>EB7-EA7</f>
        <v>364020.84607544541</v>
      </c>
      <c r="ED7" s="173">
        <f>EC7/DO7</f>
        <v>4.2036885470686843E-3</v>
      </c>
      <c r="EE7" s="172">
        <f>EB7</f>
        <v>86170464.392406896</v>
      </c>
      <c r="EF7" s="252">
        <v>86555589.746698797</v>
      </c>
      <c r="EG7" s="172">
        <f>EF7-EE7</f>
        <v>385125.35429190099</v>
      </c>
      <c r="EH7" s="173">
        <f>EG7/DO7</f>
        <v>4.4474020058925352E-3</v>
      </c>
      <c r="EI7" s="172">
        <f>EF7</f>
        <v>86555589.746698797</v>
      </c>
      <c r="EJ7" s="252">
        <v>86595579.572441056</v>
      </c>
      <c r="EK7" s="172">
        <f>EJ7-EI7</f>
        <v>39989.825742259622</v>
      </c>
      <c r="EL7" s="173">
        <f>EK7/DO7</f>
        <v>4.6179985098207413E-4</v>
      </c>
      <c r="EM7" s="172">
        <f>EJ7-DO7</f>
        <v>0</v>
      </c>
      <c r="EN7" s="173">
        <f t="shared" ref="EN7:EN38" si="17">EM7/DO7</f>
        <v>0</v>
      </c>
      <c r="EO7" s="214"/>
      <c r="EP7" s="273">
        <v>49186640.19488728</v>
      </c>
      <c r="EQ7" s="273">
        <v>48106216.829496436</v>
      </c>
      <c r="ER7" s="172">
        <f>EQ7-EP7</f>
        <v>-1080423.3653908446</v>
      </c>
      <c r="ES7" s="173">
        <f t="shared" ref="ES7:ES65" si="18">ER7/EP7</f>
        <v>-2.1965789106757276E-2</v>
      </c>
      <c r="ET7" s="273">
        <v>26633611.898875564</v>
      </c>
      <c r="EU7" s="273">
        <v>26048093.875676256</v>
      </c>
      <c r="EV7" s="172">
        <f>EU7-ET7</f>
        <v>-585518.02319930866</v>
      </c>
      <c r="EW7" s="173">
        <f t="shared" ref="EW7:EW65" si="19">EV7/ET7</f>
        <v>-2.1984176439246998E-2</v>
      </c>
      <c r="EX7" s="273">
        <v>12334325.57</v>
      </c>
      <c r="EY7" s="273">
        <v>12062090.880000001</v>
      </c>
      <c r="EZ7" s="172">
        <f>EY7-EX7</f>
        <v>-272234.68999999948</v>
      </c>
      <c r="FA7" s="173">
        <f t="shared" ref="FA7:FA65" si="20">EZ7/EX7</f>
        <v>-2.2071307300509296E-2</v>
      </c>
      <c r="FB7" s="172">
        <f>EQ7</f>
        <v>48106216.829496436</v>
      </c>
      <c r="FC7" s="273">
        <v>49065118.305837408</v>
      </c>
      <c r="FD7" s="172">
        <f>FC7-FB7</f>
        <v>958901.47634097189</v>
      </c>
      <c r="FE7" s="173">
        <f t="shared" ref="FE7:FE65" si="21">FD7/FB7</f>
        <v>1.9933005327349276E-2</v>
      </c>
      <c r="FF7" s="172">
        <f>EU7</f>
        <v>26048093.875676256</v>
      </c>
      <c r="FG7" s="273">
        <v>26409820.451876659</v>
      </c>
      <c r="FH7" s="172">
        <f>FG7-FF7</f>
        <v>361726.57620040327</v>
      </c>
      <c r="FI7" s="173">
        <f t="shared" ref="FI7:FI65" si="22">FH7/FF7</f>
        <v>1.3886873178777355E-2</v>
      </c>
      <c r="FJ7" s="172">
        <f>FC7</f>
        <v>49065118.305837408</v>
      </c>
      <c r="FK7" s="273">
        <v>49281296.716491662</v>
      </c>
      <c r="FL7" s="172">
        <f>FK7-FJ7</f>
        <v>216178.41065425426</v>
      </c>
      <c r="FM7" s="173">
        <f t="shared" ref="FM7:FM65" si="23">FL7/FJ7</f>
        <v>4.4059490350507307E-3</v>
      </c>
      <c r="FN7" s="172">
        <f>FG7</f>
        <v>26409820.451876659</v>
      </c>
      <c r="FO7" s="273">
        <v>26491366.06571703</v>
      </c>
      <c r="FP7" s="172">
        <f>FO7-FN7</f>
        <v>81545.61384037137</v>
      </c>
      <c r="FQ7" s="173">
        <f t="shared" ref="FQ7:FQ65" si="24">FP7/FN7</f>
        <v>3.0877004252627097E-3</v>
      </c>
      <c r="FR7" s="172">
        <f>FO7</f>
        <v>26491366.06571703</v>
      </c>
      <c r="FS7" s="273">
        <v>28903168.04967767</v>
      </c>
      <c r="FT7" s="172">
        <f>FS7-FR7</f>
        <v>2411801.9839606397</v>
      </c>
      <c r="FU7" s="173">
        <f t="shared" ref="FU7:FU65" si="25">FT7/FR7</f>
        <v>9.1041057602605002E-2</v>
      </c>
      <c r="FV7" s="172">
        <f t="shared" ref="FV7:FV64" si="26">EY7</f>
        <v>12062090.880000001</v>
      </c>
      <c r="FW7" s="273">
        <v>13107375.359999999</v>
      </c>
      <c r="FX7" s="172">
        <f>FW7-FV7</f>
        <v>1045284.4799999986</v>
      </c>
      <c r="FY7" s="173">
        <f t="shared" ref="FY7:FY65" si="27">FX7/FV7</f>
        <v>8.6658647360481372E-2</v>
      </c>
      <c r="FZ7" s="214"/>
      <c r="GA7" s="172">
        <f t="shared" ref="GA7:GA38" si="28">EP7</f>
        <v>49186640.19488728</v>
      </c>
      <c r="GB7" s="172">
        <f t="shared" ref="GB7:GB38" si="29">ER7</f>
        <v>-1080423.3653908446</v>
      </c>
      <c r="GC7" s="172">
        <f t="shared" ref="GC7:GC38" si="30">FD7</f>
        <v>958901.47634097189</v>
      </c>
      <c r="GD7" s="172">
        <f t="shared" ref="GD7:GD38" si="31">FL7</f>
        <v>216178.41065425426</v>
      </c>
      <c r="GE7" s="172">
        <f t="shared" ref="GE7:GE38" si="32">SUM(GB7:GD7)</f>
        <v>94656.521604381502</v>
      </c>
      <c r="GF7" s="172">
        <f t="shared" ref="GF7:GF38" si="33">GA7+GE7</f>
        <v>49281296.716491662</v>
      </c>
      <c r="GG7" s="173">
        <f t="shared" ref="GG7:GG38" si="34">GE7/GA7</f>
        <v>1.9244356034348652E-3</v>
      </c>
      <c r="GH7" s="244"/>
      <c r="GI7" s="172">
        <f t="shared" ref="GI7:GI38" si="35">ET7</f>
        <v>26633611.898875564</v>
      </c>
      <c r="GJ7" s="172">
        <f t="shared" ref="GJ7:GJ38" si="36">EV7</f>
        <v>-585518.02319930866</v>
      </c>
      <c r="GK7" s="172">
        <f t="shared" ref="GK7:GK38" si="37">FH7</f>
        <v>361726.57620040327</v>
      </c>
      <c r="GL7" s="172">
        <f t="shared" ref="GL7:GL38" si="38">FP7</f>
        <v>81545.61384037137</v>
      </c>
      <c r="GM7" s="172">
        <f t="shared" ref="GM7:GM38" si="39">FT7</f>
        <v>2411801.9839606397</v>
      </c>
      <c r="GN7" s="172">
        <f t="shared" ref="GN7:GN38" si="40">SUM(GJ7:GM7)</f>
        <v>2269556.1508021057</v>
      </c>
      <c r="GO7" s="172">
        <f t="shared" ref="GO7:GO38" si="41">GI7+GN7</f>
        <v>28903168.04967767</v>
      </c>
      <c r="GP7" s="173">
        <f t="shared" ref="GP7:GP38" si="42">GN7/GI7</f>
        <v>8.5213982970816032E-2</v>
      </c>
      <c r="GQ7" s="214"/>
      <c r="GR7" s="172">
        <f t="shared" ref="GR7:GR38" si="43">EX7</f>
        <v>12334325.57</v>
      </c>
      <c r="GS7" s="172">
        <f t="shared" ref="GS7:GS38" si="44">EZ7</f>
        <v>-272234.68999999948</v>
      </c>
      <c r="GT7" s="172">
        <f t="shared" ref="GT7:GT38" si="45">FX7</f>
        <v>1045284.4799999986</v>
      </c>
      <c r="GU7" s="172">
        <f>SUM(GS7:GT7)</f>
        <v>773049.78999999911</v>
      </c>
      <c r="GV7" s="172">
        <f>SUM(GR7,GU7)</f>
        <v>13107375.359999999</v>
      </c>
      <c r="GW7" s="173">
        <f>GU7/GR7</f>
        <v>6.2674670423832429E-2</v>
      </c>
      <c r="GX7" s="214"/>
      <c r="GY7" s="273">
        <v>-1558998.0913217762</v>
      </c>
      <c r="GZ7" s="172" t="e">
        <f>HA7-GY7</f>
        <v>#REF!</v>
      </c>
      <c r="HA7" s="172" t="e">
        <f>-VLOOKUP($B7,#REF!,23,FALSE)</f>
        <v>#REF!</v>
      </c>
    </row>
    <row r="8" spans="1:209" ht="15" customHeight="1" x14ac:dyDescent="0.45">
      <c r="A8" s="148">
        <v>1</v>
      </c>
      <c r="B8" s="215" t="s">
        <v>4</v>
      </c>
      <c r="C8" s="172">
        <v>552141.70180198876</v>
      </c>
      <c r="D8" s="173">
        <f t="shared" si="0"/>
        <v>3.8330184981862157E-4</v>
      </c>
      <c r="E8" s="1"/>
      <c r="F8" s="252">
        <v>405149.41542079812</v>
      </c>
      <c r="G8" s="173">
        <f t="shared" si="1"/>
        <v>1.7239516632093705E-4</v>
      </c>
      <c r="H8" s="173">
        <f t="shared" ref="H8:H64" si="46">G8/D8</f>
        <v>0.44976346031858294</v>
      </c>
      <c r="I8" s="172" t="e">
        <f>VLOOKUP($B8,#REF!,24,FALSE)</f>
        <v>#REF!</v>
      </c>
      <c r="J8" s="173" t="e">
        <f t="shared" si="2"/>
        <v>#REF!</v>
      </c>
      <c r="K8" s="173" t="e">
        <f t="shared" ref="K8:K64" si="47">J8/D8</f>
        <v>#REF!</v>
      </c>
      <c r="L8" s="172" t="e">
        <f t="shared" ref="L8:L64" si="48">I8-F8</f>
        <v>#REF!</v>
      </c>
      <c r="M8" s="173" t="e">
        <f t="shared" ref="M8:M38" si="49">L8/F8</f>
        <v>#REF!</v>
      </c>
      <c r="N8" s="173" t="e">
        <f t="shared" ref="N8:N64" si="50">(J8-G8)/G8</f>
        <v>#REF!</v>
      </c>
      <c r="O8" s="176"/>
      <c r="P8" s="253">
        <v>3</v>
      </c>
      <c r="Q8" s="173">
        <f t="shared" si="3"/>
        <v>1.6687061964623429E-4</v>
      </c>
      <c r="R8" s="172" t="e">
        <f>VLOOKUP($B8,#REF!,4,FALSE)</f>
        <v>#REF!</v>
      </c>
      <c r="S8" s="173" t="e">
        <f t="shared" si="4"/>
        <v>#REF!</v>
      </c>
      <c r="T8" s="172" t="e">
        <f t="shared" ref="T8:T64" si="51">R8-P8</f>
        <v>#REF!</v>
      </c>
      <c r="U8" s="173" t="e">
        <f t="shared" ref="U8:U65" si="52">T8/P8</f>
        <v>#REF!</v>
      </c>
      <c r="V8" s="173" t="e">
        <f t="shared" ref="V8:V64" si="53">(S8-Q8)/Q8</f>
        <v>#REF!</v>
      </c>
      <c r="W8" s="1"/>
      <c r="X8" s="189">
        <f>VLOOKUP($B8,'Average RAS salary'!$A$5:$D$62,4,FALSE)</f>
        <v>64291.727272727265</v>
      </c>
      <c r="Y8" s="253">
        <v>50203.194122483423</v>
      </c>
      <c r="Z8" s="252" t="s">
        <v>273</v>
      </c>
      <c r="AA8" s="252" t="s">
        <v>272</v>
      </c>
      <c r="AB8" s="173">
        <f t="shared" si="5"/>
        <v>0.86058854867331291</v>
      </c>
      <c r="AC8" s="172" t="e">
        <f>VLOOKUP($B8,#REF!,3,FALSE)</f>
        <v>#REF!</v>
      </c>
      <c r="AD8" s="172" t="e">
        <f>VLOOKUP($B8,#REF!,5,FALSE)</f>
        <v>#REF!</v>
      </c>
      <c r="AE8" s="172" t="e">
        <f>VLOOKUP($B8,#REF!,6,FALSE)</f>
        <v>#REF!</v>
      </c>
      <c r="AF8" s="173" t="e">
        <f t="shared" si="6"/>
        <v>#REF!</v>
      </c>
      <c r="AG8" s="172" t="e">
        <f t="shared" ref="AG8:AG38" si="54">AC8-Y8</f>
        <v>#REF!</v>
      </c>
      <c r="AH8" s="173" t="e">
        <f t="shared" si="7"/>
        <v>#REF!</v>
      </c>
      <c r="AI8" s="173" t="e">
        <f t="shared" si="8"/>
        <v>#REF!</v>
      </c>
      <c r="AJ8" s="189">
        <v>58054.153846153837</v>
      </c>
      <c r="AK8" s="189">
        <f>VLOOKUP($B8,'Average RAS salary'!$A$5:$D$62,4,FALSE)</f>
        <v>64291.727272727265</v>
      </c>
      <c r="AL8" s="189">
        <f t="shared" ref="AL8:AL64" si="55">AK8-AJ8</f>
        <v>6237.5734265734282</v>
      </c>
      <c r="AM8" s="173">
        <f t="shared" ref="AM8:AM66" si="56">AL8/AJ8</f>
        <v>0.10744405031039266</v>
      </c>
      <c r="AN8" s="189" t="e">
        <f t="shared" ref="AN8:AN64" si="57">AK8*(R8-1)</f>
        <v>#REF!</v>
      </c>
      <c r="AO8" s="189" t="e">
        <f t="shared" ref="AO8:AO64" si="58">IF(AE8="Yes",$AC$66,AC8)</f>
        <v>#REF!</v>
      </c>
      <c r="AP8" s="189" t="e">
        <f t="shared" ref="AP8:AP64" si="59">AO8*(R8-1)</f>
        <v>#REF!</v>
      </c>
      <c r="AQ8" s="189" t="e">
        <f>IF($AP8-$AN8&gt;=0,$AP8-$AN8,"")</f>
        <v>#REF!</v>
      </c>
      <c r="AR8" s="189" t="e">
        <f t="shared" ref="AR8:AR64" si="60">IF($AP8-$AN8&lt;0,$AP8-$AN8,"")</f>
        <v>#REF!</v>
      </c>
      <c r="AS8" s="189" t="e">
        <f t="shared" si="9"/>
        <v>#REF!</v>
      </c>
      <c r="AT8" s="213" t="e">
        <f t="shared" ref="AT8:AT64" si="61">AO8-AK8</f>
        <v>#REF!</v>
      </c>
      <c r="AU8" s="173" t="e">
        <f t="shared" ref="AU8:AU65" si="62">AT8/AK8</f>
        <v>#REF!</v>
      </c>
      <c r="AV8" s="189"/>
      <c r="AW8" s="189">
        <f>VLOOKUP($B8,'Average RAS salary'!$A$5:$D$62,4,FALSE)</f>
        <v>64291.727272727265</v>
      </c>
      <c r="AX8" s="189" t="e">
        <f t="shared" si="10"/>
        <v>#REF!</v>
      </c>
      <c r="AY8" s="189">
        <v>42820.203793597379</v>
      </c>
      <c r="AZ8" s="189" t="e">
        <f t="shared" si="11"/>
        <v>#REF!</v>
      </c>
      <c r="BA8" s="189" t="e">
        <f t="shared" ref="BA8:BA64" si="63">IF($AZ8-$AX8&gt;=0,$AZ8-$AX8,"")</f>
        <v>#REF!</v>
      </c>
      <c r="BB8" s="189" t="e">
        <f t="shared" ref="BB8:BB64" si="64">IF($AZ8-$AX8&lt;0,$AZ8-$AX8,"")</f>
        <v>#REF!</v>
      </c>
      <c r="BC8" s="189" t="e">
        <f t="shared" ref="BC8:BC64" si="65">SUM(BA8:BB8)</f>
        <v>#REF!</v>
      </c>
      <c r="BD8" s="213">
        <f t="shared" ref="BD8:BD64" si="66">AY8-AW8</f>
        <v>-21471.523479129886</v>
      </c>
      <c r="BE8" s="173">
        <f t="shared" ref="BE8:BE40" si="67">BD8/AW8</f>
        <v>-0.33397023831770917</v>
      </c>
      <c r="BF8" s="189"/>
      <c r="BG8" s="189">
        <f>VLOOKUP($B8,'Average RAS salary'!$A$5:$D$62,4,FALSE)</f>
        <v>64291.727272727265</v>
      </c>
      <c r="BH8" s="189" t="e">
        <f t="shared" ref="BH8:BH64" si="68">BG8*($R8-1)</f>
        <v>#REF!</v>
      </c>
      <c r="BI8" s="189" t="e">
        <f>$BG$65*#REF!</f>
        <v>#REF!</v>
      </c>
      <c r="BJ8" s="189" t="e">
        <f t="shared" ref="BJ8:BJ64" si="69">BI8*($R8-1)</f>
        <v>#REF!</v>
      </c>
      <c r="BK8" s="189" t="e">
        <f t="shared" si="12"/>
        <v>#REF!</v>
      </c>
      <c r="BL8" s="189" t="e">
        <f t="shared" si="13"/>
        <v>#REF!</v>
      </c>
      <c r="BM8" s="189" t="e">
        <f t="shared" ref="BM8:BM64" si="70">SUM(BK8:BL8)</f>
        <v>#REF!</v>
      </c>
      <c r="BN8" s="213" t="e">
        <f t="shared" ref="BN8:BN64" si="71">BI8-BG8</f>
        <v>#REF!</v>
      </c>
      <c r="BO8" s="173" t="e">
        <f t="shared" ref="BO8:BO65" si="72">BN8/BG8</f>
        <v>#REF!</v>
      </c>
      <c r="BP8" s="189"/>
      <c r="BQ8" s="189">
        <f>VLOOKUP($B8,'Average RAS salary'!$A$5:$D$62,4,FALSE)</f>
        <v>64291.727272727265</v>
      </c>
      <c r="BR8" s="189" t="e">
        <f t="shared" ref="BR8:BR64" si="73">BQ8*($R8-1)</f>
        <v>#REF!</v>
      </c>
      <c r="BS8" s="189" t="e">
        <f>VLOOKUP($B8,#REF!,19,FALSE)*$BQ$65</f>
        <v>#REF!</v>
      </c>
      <c r="BT8" s="189" t="e">
        <f t="shared" ref="BT8:BT64" si="74">BS8*($R8-1)</f>
        <v>#REF!</v>
      </c>
      <c r="BU8" s="189" t="e">
        <f t="shared" ref="BU8:BU64" si="75">IF($BT8-$BR8&gt;=0,$BT8-$BR8,"")</f>
        <v>#REF!</v>
      </c>
      <c r="BV8" s="189" t="e">
        <f t="shared" ref="BV8:BV64" si="76">IF($BT8-$BR8&lt;0,$BT8-$BR8,"")</f>
        <v>#REF!</v>
      </c>
      <c r="BW8" s="189" t="e">
        <f t="shared" ref="BW8:BW64" si="77">SUM(BU8:BV8)</f>
        <v>#REF!</v>
      </c>
      <c r="BX8" s="213" t="e">
        <f t="shared" ref="BX8:BX64" si="78">BS8-BQ8</f>
        <v>#REF!</v>
      </c>
      <c r="BY8" s="173" t="e">
        <f t="shared" ref="BY8:BY64" si="79">BX8/BQ8</f>
        <v>#REF!</v>
      </c>
      <c r="BZ8" s="189"/>
      <c r="CA8" s="189">
        <f>VLOOKUP($B8,'Average RAS salary'!$A$5:$D$62,4,FALSE)</f>
        <v>64291.727272727265</v>
      </c>
      <c r="CB8" s="189" t="e">
        <f t="shared" ref="CB8:CB64" si="80">CA8*($R8-1)</f>
        <v>#REF!</v>
      </c>
      <c r="CC8" s="189" t="e">
        <f>IF(VLOOKUP($B8,#REF!,7,FALSE)&gt;VLOOKUP($B8,#REF!,19,FALSE)*$CA$65,VLOOKUP($B8,#REF!,19,FALSE)*$CA$65,VLOOKUP($B8,#REF!,7,FALSE))</f>
        <v>#REF!</v>
      </c>
      <c r="CD8" s="189" t="e">
        <f t="shared" ref="CD8:CD64" si="81">CC8*($R8-1)</f>
        <v>#REF!</v>
      </c>
      <c r="CE8" s="189" t="e">
        <f t="shared" ref="CE8:CE64" si="82">IF(CD8-CB8&gt;=0,CD8-CB8,"")</f>
        <v>#REF!</v>
      </c>
      <c r="CF8" s="189" t="e">
        <f t="shared" ref="CF8:CF64" si="83">IF(CD8-CB8&lt;0,CD8-CB8,"")</f>
        <v>#REF!</v>
      </c>
      <c r="CG8" s="189" t="e">
        <f t="shared" ref="CG8:CG64" si="84">SUM(CE8:CF8)</f>
        <v>#REF!</v>
      </c>
      <c r="CH8" s="213" t="e">
        <f t="shared" ref="CH8:CH64" si="85">CC8-CA8</f>
        <v>#REF!</v>
      </c>
      <c r="CI8" s="173" t="e">
        <f t="shared" ref="CI8:CI65" si="86">CH8/CA8</f>
        <v>#REF!</v>
      </c>
      <c r="CJ8" s="189"/>
      <c r="CK8" s="189">
        <f>VLOOKUP($B8,'Average RAS salary'!$A$5:$D$62,4,FALSE)</f>
        <v>64291.727272727265</v>
      </c>
      <c r="CL8" s="189" t="e">
        <f t="shared" ref="CL8:CL64" si="87">CK8*($R8-1)</f>
        <v>#REF!</v>
      </c>
      <c r="CM8" s="189" t="e">
        <f>IF($AY8&gt;VLOOKUP($B8,#REF!,19,FALSE)*$CK$65,VLOOKUP($B8,#REF!,19,FALSE)*$CK$65,$AY8)</f>
        <v>#REF!</v>
      </c>
      <c r="CN8" s="189" t="e">
        <f t="shared" ref="CN8:CN64" si="88">CM8*($R8-1)</f>
        <v>#REF!</v>
      </c>
      <c r="CO8" s="189" t="e">
        <f t="shared" ref="CO8:CO64" si="89">IF(CN8-CL8&gt;=0,CN8-CL8,"")</f>
        <v>#REF!</v>
      </c>
      <c r="CP8" s="189" t="e">
        <f t="shared" ref="CP8:CP64" si="90">IF(CN8-CL8&lt;0,CN8-CL8,"")</f>
        <v>#REF!</v>
      </c>
      <c r="CQ8" s="189" t="e">
        <f t="shared" ref="CQ8:CQ64" si="91">SUM(CO8:CP8)</f>
        <v>#REF!</v>
      </c>
      <c r="CR8" s="213" t="e">
        <f t="shared" ref="CR8:CR64" si="92">CM8-CK8</f>
        <v>#REF!</v>
      </c>
      <c r="CS8" s="173" t="e">
        <f t="shared" ref="CS8:CS65" si="93">CR8/CK8</f>
        <v>#REF!</v>
      </c>
      <c r="CT8" s="1"/>
      <c r="CU8" s="254">
        <v>0.1983262614716203</v>
      </c>
      <c r="CV8" s="252">
        <v>23503.18</v>
      </c>
      <c r="CW8" s="254">
        <v>0.23631471586652789</v>
      </c>
      <c r="CX8" s="255">
        <v>23503.18</v>
      </c>
      <c r="CY8" s="190" t="e">
        <f>VLOOKUP($B8,#REF!,13,FALSE)</f>
        <v>#REF!</v>
      </c>
      <c r="CZ8" s="172" t="e">
        <f>VLOOKUP($B8,#REF!,14,FALSE)</f>
        <v>#REF!</v>
      </c>
      <c r="DA8" s="190" t="e">
        <f>VLOOKUP($B8,#REF!,15,FALSE)</f>
        <v>#REF!</v>
      </c>
      <c r="DB8" s="189" t="e">
        <f>VLOOKUP($B8,#REF!,16,FALSE)</f>
        <v>#REF!</v>
      </c>
      <c r="DC8" s="190" t="e">
        <f t="shared" ref="DC8:DC64" si="94">(CY8-CU8)/CU8</f>
        <v>#REF!</v>
      </c>
      <c r="DD8" s="190" t="e">
        <f t="shared" ref="DD8:DD64" si="95">(CZ8-CV8)/CV8</f>
        <v>#REF!</v>
      </c>
      <c r="DE8" s="190" t="e">
        <f t="shared" ref="DE8:DE64" si="96">(DA8-CW8)/CW8</f>
        <v>#REF!</v>
      </c>
      <c r="DF8" s="190" t="e">
        <f t="shared" ref="DF8:DF64" si="97">(DB8-CX8)/CX8</f>
        <v>#REF!</v>
      </c>
      <c r="DG8" s="1"/>
      <c r="DH8" s="253" t="s">
        <v>273</v>
      </c>
      <c r="DI8" s="253">
        <v>36601.477947776439</v>
      </c>
      <c r="DJ8" s="173">
        <f t="shared" ref="DJ8:DJ64" si="98">DI8/DI$65</f>
        <v>7.2394750283272968E-2</v>
      </c>
      <c r="DK8" s="172" t="e">
        <f>IF(VLOOKUP($B8,#REF!,6,FALSE)="Y","Yes","")</f>
        <v>#REF!</v>
      </c>
      <c r="DL8" s="172" t="e">
        <f>VLOOKUP($B8,#REF!,4,FALSE)</f>
        <v>#REF!</v>
      </c>
      <c r="DM8" s="173" t="e">
        <f t="shared" si="15"/>
        <v>#REF!</v>
      </c>
      <c r="DN8" s="1"/>
      <c r="DO8" s="172">
        <f t="shared" ref="DO8:DO64" si="99">F8</f>
        <v>405149.41542079812</v>
      </c>
      <c r="DP8" s="252">
        <v>378882.84300115384</v>
      </c>
      <c r="DQ8" s="172">
        <f t="shared" ref="DQ8:DQ64" si="100">DP8-DO8</f>
        <v>-26266.572419644275</v>
      </c>
      <c r="DR8" s="173">
        <f t="shared" si="16"/>
        <v>-6.4831816164323403E-2</v>
      </c>
      <c r="DS8" s="172">
        <f t="shared" ref="DS8:DS64" si="101">DP8</f>
        <v>378882.84300115384</v>
      </c>
      <c r="DT8" s="252">
        <v>385395.94846433267</v>
      </c>
      <c r="DU8" s="172">
        <f t="shared" ref="DU8:DU64" si="102">DT8-DS8</f>
        <v>6513.1054631788284</v>
      </c>
      <c r="DV8" s="173">
        <f t="shared" ref="DV8:DV65" si="103">DU8/DO8</f>
        <v>1.6075811084200028E-2</v>
      </c>
      <c r="DW8" s="172">
        <f t="shared" ref="DW8:DW64" si="104">DT8</f>
        <v>385395.94846433267</v>
      </c>
      <c r="DX8" s="252">
        <v>394240.22506070224</v>
      </c>
      <c r="DY8" s="172">
        <f t="shared" ref="DY8:DY64" si="105">DX8-DW8</f>
        <v>8844.2765963695711</v>
      </c>
      <c r="DZ8" s="173">
        <f t="shared" ref="DZ8:DZ65" si="106">DY8/DO8</f>
        <v>2.1829666438451325E-2</v>
      </c>
      <c r="EA8" s="172">
        <f t="shared" ref="EA8:EA64" si="107">DX8</f>
        <v>394240.22506070224</v>
      </c>
      <c r="EB8" s="252">
        <v>400070.13860710792</v>
      </c>
      <c r="EC8" s="172">
        <f t="shared" ref="EC8:EC64" si="108">EB8-EA8</f>
        <v>5829.9135464056744</v>
      </c>
      <c r="ED8" s="173">
        <f t="shared" ref="ED8:ED65" si="109">EC8/DO8</f>
        <v>1.4389539573568392E-2</v>
      </c>
      <c r="EE8" s="172">
        <f t="shared" ref="EE8:EE64" si="110">EB8</f>
        <v>400070.13860710792</v>
      </c>
      <c r="EF8" s="252">
        <v>405149.41542079812</v>
      </c>
      <c r="EG8" s="172">
        <f t="shared" ref="EG8:EG64" si="111">EF8-EE8</f>
        <v>5079.2768136902014</v>
      </c>
      <c r="EH8" s="173">
        <f t="shared" ref="EH8:EH64" si="112">EG8/DO8</f>
        <v>1.2536799068103652E-2</v>
      </c>
      <c r="EI8" s="172">
        <f t="shared" ref="EI8:EI64" si="113">EF8</f>
        <v>405149.41542079812</v>
      </c>
      <c r="EJ8" s="252">
        <v>405149.41542079812</v>
      </c>
      <c r="EK8" s="172">
        <f t="shared" ref="EK8:EK64" si="114">EJ8-EI8</f>
        <v>0</v>
      </c>
      <c r="EL8" s="173">
        <f t="shared" ref="EL8:EL65" si="115">EK8/DO8</f>
        <v>0</v>
      </c>
      <c r="EM8" s="172">
        <f t="shared" ref="EM8:EM64" si="116">EJ8-DO8</f>
        <v>0</v>
      </c>
      <c r="EN8" s="173">
        <f t="shared" si="17"/>
        <v>0</v>
      </c>
      <c r="EO8" s="214"/>
      <c r="EP8" s="273">
        <v>201882.85047360481</v>
      </c>
      <c r="EQ8" s="273">
        <v>201882.85047360481</v>
      </c>
      <c r="ER8" s="172">
        <f t="shared" ref="ER8:ER64" si="117">EQ8-EP8</f>
        <v>0</v>
      </c>
      <c r="ES8" s="173">
        <f t="shared" si="18"/>
        <v>0</v>
      </c>
      <c r="ET8" s="273">
        <v>114403.14494719334</v>
      </c>
      <c r="EU8" s="273">
        <v>114403.14494719334</v>
      </c>
      <c r="EV8" s="172">
        <f t="shared" ref="EV8:EV64" si="118">EU8-ET8</f>
        <v>0</v>
      </c>
      <c r="EW8" s="173">
        <f t="shared" si="19"/>
        <v>0</v>
      </c>
      <c r="EX8" s="273">
        <v>88863.42</v>
      </c>
      <c r="EY8" s="273">
        <v>88863.42</v>
      </c>
      <c r="EZ8" s="172">
        <f t="shared" ref="EZ8:EZ64" si="119">EY8-EX8</f>
        <v>0</v>
      </c>
      <c r="FA8" s="173">
        <f t="shared" si="20"/>
        <v>0</v>
      </c>
      <c r="FB8" s="172">
        <f t="shared" ref="FB8:FB64" si="120">EQ8</f>
        <v>201882.85047360481</v>
      </c>
      <c r="FC8" s="273">
        <v>200591.23701501108</v>
      </c>
      <c r="FD8" s="172">
        <f t="shared" ref="FD8:FD64" si="121">FC8-FB8</f>
        <v>-1291.6134585937252</v>
      </c>
      <c r="FE8" s="173">
        <f t="shared" si="21"/>
        <v>-6.3978364460561118E-3</v>
      </c>
      <c r="FF8" s="172">
        <f t="shared" ref="FF8:FF64" si="122">EU8</f>
        <v>114403.14494719334</v>
      </c>
      <c r="FG8" s="273">
        <v>114022.2177176445</v>
      </c>
      <c r="FH8" s="172">
        <f t="shared" ref="FH8:FH64" si="123">FG8-FF8</f>
        <v>-380.92722954884812</v>
      </c>
      <c r="FI8" s="173">
        <f t="shared" si="22"/>
        <v>-3.3296919391916893E-3</v>
      </c>
      <c r="FJ8" s="172">
        <f t="shared" ref="FJ8:FJ64" si="124">FC8</f>
        <v>200591.23701501108</v>
      </c>
      <c r="FK8" s="273">
        <v>209777.49888935784</v>
      </c>
      <c r="FL8" s="172">
        <f t="shared" ref="FL8:FL64" si="125">FK8-FJ8</f>
        <v>9186.261874346761</v>
      </c>
      <c r="FM8" s="173">
        <f t="shared" si="23"/>
        <v>4.5795928132490227E-2</v>
      </c>
      <c r="FN8" s="172">
        <f t="shared" ref="FN8:FN64" si="126">FG8</f>
        <v>114022.2177176445</v>
      </c>
      <c r="FO8" s="273">
        <v>116014.92117925396</v>
      </c>
      <c r="FP8" s="172">
        <f t="shared" ref="FP8:FP64" si="127">FO8-FN8</f>
        <v>1992.7034616094606</v>
      </c>
      <c r="FQ8" s="173">
        <f t="shared" si="24"/>
        <v>1.7476448901774848E-2</v>
      </c>
      <c r="FR8" s="172">
        <f t="shared" ref="FR8:FR64" si="128">FO8</f>
        <v>116014.92117925396</v>
      </c>
      <c r="FS8" s="273">
        <v>122915.49778836149</v>
      </c>
      <c r="FT8" s="172">
        <f t="shared" ref="FT8:FT64" si="129">FS8-FR8</f>
        <v>6900.5766091075348</v>
      </c>
      <c r="FU8" s="173">
        <f t="shared" si="25"/>
        <v>5.9480078415478088E-2</v>
      </c>
      <c r="FV8" s="172">
        <f t="shared" si="26"/>
        <v>88863.42</v>
      </c>
      <c r="FW8" s="273">
        <v>97865.4</v>
      </c>
      <c r="FX8" s="172">
        <f t="shared" ref="FX8:FX64" si="130">FW8-FV8</f>
        <v>9001.9799999999959</v>
      </c>
      <c r="FY8" s="173">
        <f t="shared" si="27"/>
        <v>0.1013013003550842</v>
      </c>
      <c r="FZ8" s="214"/>
      <c r="GA8" s="172">
        <f t="shared" si="28"/>
        <v>201882.85047360481</v>
      </c>
      <c r="GB8" s="172">
        <f t="shared" si="29"/>
        <v>0</v>
      </c>
      <c r="GC8" s="172">
        <f t="shared" si="30"/>
        <v>-1291.6134585937252</v>
      </c>
      <c r="GD8" s="172">
        <f t="shared" si="31"/>
        <v>9186.261874346761</v>
      </c>
      <c r="GE8" s="172">
        <f t="shared" si="32"/>
        <v>7894.6484157530358</v>
      </c>
      <c r="GF8" s="172">
        <f t="shared" si="33"/>
        <v>209777.49888935784</v>
      </c>
      <c r="GG8" s="173">
        <f t="shared" si="34"/>
        <v>3.9105096828347105E-2</v>
      </c>
      <c r="GH8" s="244"/>
      <c r="GI8" s="172">
        <f t="shared" si="35"/>
        <v>114403.14494719334</v>
      </c>
      <c r="GJ8" s="172">
        <f t="shared" si="36"/>
        <v>0</v>
      </c>
      <c r="GK8" s="172">
        <f t="shared" si="37"/>
        <v>-380.92722954884812</v>
      </c>
      <c r="GL8" s="172">
        <f t="shared" si="38"/>
        <v>1992.7034616094606</v>
      </c>
      <c r="GM8" s="172">
        <f t="shared" si="39"/>
        <v>6900.5766091075348</v>
      </c>
      <c r="GN8" s="172">
        <f t="shared" si="40"/>
        <v>8512.3528411681473</v>
      </c>
      <c r="GO8" s="172">
        <f t="shared" si="41"/>
        <v>122915.49778836149</v>
      </c>
      <c r="GP8" s="173">
        <f t="shared" si="42"/>
        <v>7.4406633183880674E-2</v>
      </c>
      <c r="GQ8" s="214"/>
      <c r="GR8" s="172">
        <f t="shared" si="43"/>
        <v>88863.42</v>
      </c>
      <c r="GS8" s="172">
        <f t="shared" si="44"/>
        <v>0</v>
      </c>
      <c r="GT8" s="172">
        <f t="shared" si="45"/>
        <v>9001.9799999999959</v>
      </c>
      <c r="GU8" s="172">
        <f t="shared" ref="GU8:GU64" si="131">SUM(GS8:GT8)</f>
        <v>9001.9799999999959</v>
      </c>
      <c r="GV8" s="172">
        <f t="shared" ref="GV8:GV64" si="132">SUM(GR8,GU8)</f>
        <v>97865.4</v>
      </c>
      <c r="GW8" s="173">
        <f t="shared" ref="GW8:GW65" si="133">GU8/GR8</f>
        <v>0.1013013003550842</v>
      </c>
      <c r="GX8" s="214"/>
      <c r="GY8" s="273">
        <v>0</v>
      </c>
      <c r="GZ8" s="172" t="e">
        <f t="shared" ref="GZ8:GZ64" si="134">HA8-GY8</f>
        <v>#REF!</v>
      </c>
      <c r="HA8" s="172" t="e">
        <f>-VLOOKUP($B8,#REF!,23,FALSE)</f>
        <v>#REF!</v>
      </c>
    </row>
    <row r="9" spans="1:209" ht="15" customHeight="1" x14ac:dyDescent="0.45">
      <c r="A9" s="148">
        <v>1</v>
      </c>
      <c r="B9" s="215" t="s">
        <v>5</v>
      </c>
      <c r="C9" s="172">
        <v>2080491.3752727169</v>
      </c>
      <c r="D9" s="173">
        <f t="shared" si="0"/>
        <v>1.4442962559631245E-3</v>
      </c>
      <c r="E9" s="1"/>
      <c r="F9" s="252">
        <v>2923145.5103461398</v>
      </c>
      <c r="G9" s="173">
        <f t="shared" si="1"/>
        <v>1.2438279243548278E-3</v>
      </c>
      <c r="H9" s="173">
        <f t="shared" si="46"/>
        <v>0.86119999218954213</v>
      </c>
      <c r="I9" s="172" t="e">
        <f>VLOOKUP($B9,#REF!,24,FALSE)</f>
        <v>#REF!</v>
      </c>
      <c r="J9" s="173" t="e">
        <f t="shared" si="2"/>
        <v>#REF!</v>
      </c>
      <c r="K9" s="173" t="e">
        <f t="shared" si="47"/>
        <v>#REF!</v>
      </c>
      <c r="L9" s="172" t="e">
        <f t="shared" si="48"/>
        <v>#REF!</v>
      </c>
      <c r="M9" s="173" t="e">
        <f t="shared" si="49"/>
        <v>#REF!</v>
      </c>
      <c r="N9" s="173" t="e">
        <f t="shared" si="50"/>
        <v>#REF!</v>
      </c>
      <c r="O9" s="176"/>
      <c r="P9" s="253">
        <v>26</v>
      </c>
      <c r="Q9" s="173">
        <f t="shared" si="3"/>
        <v>1.4462120369340304E-3</v>
      </c>
      <c r="R9" s="172" t="e">
        <f>VLOOKUP($B9,#REF!,4,FALSE)</f>
        <v>#REF!</v>
      </c>
      <c r="S9" s="173" t="e">
        <f t="shared" si="4"/>
        <v>#REF!</v>
      </c>
      <c r="T9" s="172" t="e">
        <f t="shared" si="51"/>
        <v>#REF!</v>
      </c>
      <c r="U9" s="173" t="e">
        <f t="shared" si="52"/>
        <v>#REF!</v>
      </c>
      <c r="V9" s="173" t="e">
        <f t="shared" si="53"/>
        <v>#REF!</v>
      </c>
      <c r="W9" s="1"/>
      <c r="X9" s="189">
        <f>VLOOKUP($B9,'Average RAS salary'!$A$5:$D$62,4,FALSE)</f>
        <v>50251.883950617274</v>
      </c>
      <c r="Y9" s="253">
        <v>58358.309373153446</v>
      </c>
      <c r="Z9" s="252" t="s">
        <v>273</v>
      </c>
      <c r="AA9" s="252" t="s">
        <v>272</v>
      </c>
      <c r="AB9" s="173">
        <f t="shared" si="5"/>
        <v>1.0003844106799222</v>
      </c>
      <c r="AC9" s="172" t="e">
        <f>VLOOKUP($B9,#REF!,3,FALSE)</f>
        <v>#REF!</v>
      </c>
      <c r="AD9" s="172" t="e">
        <f>VLOOKUP($B9,#REF!,5,FALSE)</f>
        <v>#REF!</v>
      </c>
      <c r="AE9" s="172" t="e">
        <f>VLOOKUP($B9,#REF!,6,FALSE)</f>
        <v>#REF!</v>
      </c>
      <c r="AF9" s="173" t="e">
        <f t="shared" si="6"/>
        <v>#REF!</v>
      </c>
      <c r="AG9" s="172" t="e">
        <f t="shared" si="54"/>
        <v>#REF!</v>
      </c>
      <c r="AH9" s="173" t="e">
        <f t="shared" si="7"/>
        <v>#REF!</v>
      </c>
      <c r="AI9" s="173" t="e">
        <f t="shared" si="8"/>
        <v>#REF!</v>
      </c>
      <c r="AJ9" s="189">
        <v>50596.2772881356</v>
      </c>
      <c r="AK9" s="189">
        <f>VLOOKUP($B9,'Average RAS salary'!$A$5:$D$62,4,FALSE)</f>
        <v>50251.883950617274</v>
      </c>
      <c r="AL9" s="189">
        <f t="shared" si="55"/>
        <v>-344.39333751832601</v>
      </c>
      <c r="AM9" s="173">
        <f t="shared" si="56"/>
        <v>-6.8066932188918837E-3</v>
      </c>
      <c r="AN9" s="189" t="e">
        <f t="shared" si="57"/>
        <v>#REF!</v>
      </c>
      <c r="AO9" s="189" t="e">
        <f t="shared" si="58"/>
        <v>#REF!</v>
      </c>
      <c r="AP9" s="189" t="e">
        <f t="shared" si="59"/>
        <v>#REF!</v>
      </c>
      <c r="AQ9" s="189" t="e">
        <f t="shared" ref="AQ9:AQ64" si="135">IF($AP9-$AN9&gt;=0,$AP9-$AN9,"")</f>
        <v>#REF!</v>
      </c>
      <c r="AR9" s="189" t="e">
        <f t="shared" si="60"/>
        <v>#REF!</v>
      </c>
      <c r="AS9" s="189" t="e">
        <f t="shared" si="9"/>
        <v>#REF!</v>
      </c>
      <c r="AT9" s="213" t="e">
        <f t="shared" si="61"/>
        <v>#REF!</v>
      </c>
      <c r="AU9" s="173" t="e">
        <f t="shared" si="62"/>
        <v>#REF!</v>
      </c>
      <c r="AV9" s="189"/>
      <c r="AW9" s="189">
        <f>VLOOKUP($B9,'Average RAS salary'!$A$5:$D$62,4,FALSE)</f>
        <v>50251.883950617274</v>
      </c>
      <c r="AX9" s="189" t="e">
        <f t="shared" si="10"/>
        <v>#REF!</v>
      </c>
      <c r="AY9" s="189">
        <v>51170.552017018548</v>
      </c>
      <c r="AZ9" s="189" t="e">
        <f t="shared" si="11"/>
        <v>#REF!</v>
      </c>
      <c r="BA9" s="189" t="e">
        <f t="shared" si="63"/>
        <v>#REF!</v>
      </c>
      <c r="BB9" s="189" t="e">
        <f t="shared" si="64"/>
        <v>#REF!</v>
      </c>
      <c r="BC9" s="189" t="e">
        <f t="shared" si="65"/>
        <v>#REF!</v>
      </c>
      <c r="BD9" s="213">
        <f t="shared" si="66"/>
        <v>918.6680664012747</v>
      </c>
      <c r="BE9" s="173">
        <f t="shared" si="67"/>
        <v>1.8281266177086086E-2</v>
      </c>
      <c r="BF9" s="189"/>
      <c r="BG9" s="189">
        <f>VLOOKUP($B9,'Average RAS salary'!$A$5:$D$62,4,FALSE)</f>
        <v>50251.883950617274</v>
      </c>
      <c r="BH9" s="189" t="e">
        <f t="shared" si="68"/>
        <v>#REF!</v>
      </c>
      <c r="BI9" s="189" t="e">
        <f>$BG$65*#REF!</f>
        <v>#REF!</v>
      </c>
      <c r="BJ9" s="189" t="e">
        <f t="shared" si="69"/>
        <v>#REF!</v>
      </c>
      <c r="BK9" s="189" t="e">
        <f t="shared" si="12"/>
        <v>#REF!</v>
      </c>
      <c r="BL9" s="189" t="e">
        <f t="shared" si="13"/>
        <v>#REF!</v>
      </c>
      <c r="BM9" s="189" t="e">
        <f t="shared" si="70"/>
        <v>#REF!</v>
      </c>
      <c r="BN9" s="213" t="e">
        <f t="shared" si="71"/>
        <v>#REF!</v>
      </c>
      <c r="BO9" s="173" t="e">
        <f t="shared" si="72"/>
        <v>#REF!</v>
      </c>
      <c r="BP9" s="189"/>
      <c r="BQ9" s="189">
        <f>VLOOKUP($B9,'Average RAS salary'!$A$5:$D$62,4,FALSE)</f>
        <v>50251.883950617274</v>
      </c>
      <c r="BR9" s="189" t="e">
        <f t="shared" si="73"/>
        <v>#REF!</v>
      </c>
      <c r="BS9" s="189" t="e">
        <f>VLOOKUP($B9,#REF!,19,FALSE)*$BQ$65</f>
        <v>#REF!</v>
      </c>
      <c r="BT9" s="189" t="e">
        <f t="shared" si="74"/>
        <v>#REF!</v>
      </c>
      <c r="BU9" s="189" t="e">
        <f t="shared" si="75"/>
        <v>#REF!</v>
      </c>
      <c r="BV9" s="189" t="e">
        <f t="shared" si="76"/>
        <v>#REF!</v>
      </c>
      <c r="BW9" s="189" t="e">
        <f t="shared" si="77"/>
        <v>#REF!</v>
      </c>
      <c r="BX9" s="213" t="e">
        <f t="shared" si="78"/>
        <v>#REF!</v>
      </c>
      <c r="BY9" s="173" t="e">
        <f t="shared" si="79"/>
        <v>#REF!</v>
      </c>
      <c r="BZ9" s="189"/>
      <c r="CA9" s="189">
        <f>VLOOKUP($B9,'Average RAS salary'!$A$5:$D$62,4,FALSE)</f>
        <v>50251.883950617274</v>
      </c>
      <c r="CB9" s="189" t="e">
        <f t="shared" si="80"/>
        <v>#REF!</v>
      </c>
      <c r="CC9" s="189" t="e">
        <f>IF(VLOOKUP($B9,#REF!,7,FALSE)&gt;VLOOKUP($B9,#REF!,19,FALSE)*$CA$65,VLOOKUP($B9,#REF!,19,FALSE)*$CA$65,VLOOKUP($B9,#REF!,7,FALSE))</f>
        <v>#REF!</v>
      </c>
      <c r="CD9" s="189" t="e">
        <f t="shared" si="81"/>
        <v>#REF!</v>
      </c>
      <c r="CE9" s="189" t="e">
        <f t="shared" si="82"/>
        <v>#REF!</v>
      </c>
      <c r="CF9" s="189" t="e">
        <f t="shared" si="83"/>
        <v>#REF!</v>
      </c>
      <c r="CG9" s="189" t="e">
        <f t="shared" si="84"/>
        <v>#REF!</v>
      </c>
      <c r="CH9" s="213" t="e">
        <f t="shared" si="85"/>
        <v>#REF!</v>
      </c>
      <c r="CI9" s="173" t="e">
        <f t="shared" si="86"/>
        <v>#REF!</v>
      </c>
      <c r="CJ9" s="189"/>
      <c r="CK9" s="189">
        <f>VLOOKUP($B9,'Average RAS salary'!$A$5:$D$62,4,FALSE)</f>
        <v>50251.883950617274</v>
      </c>
      <c r="CL9" s="189" t="e">
        <f t="shared" si="87"/>
        <v>#REF!</v>
      </c>
      <c r="CM9" s="189" t="e">
        <f>IF($AY9&gt;VLOOKUP($B9,#REF!,19,FALSE)*$CK$65,VLOOKUP($B9,#REF!,19,FALSE)*$CK$65,$AY9)</f>
        <v>#REF!</v>
      </c>
      <c r="CN9" s="189" t="e">
        <f t="shared" si="88"/>
        <v>#REF!</v>
      </c>
      <c r="CO9" s="189" t="e">
        <f t="shared" si="89"/>
        <v>#REF!</v>
      </c>
      <c r="CP9" s="189" t="e">
        <f t="shared" si="90"/>
        <v>#REF!</v>
      </c>
      <c r="CQ9" s="189" t="e">
        <f t="shared" si="91"/>
        <v>#REF!</v>
      </c>
      <c r="CR9" s="213" t="e">
        <f t="shared" si="92"/>
        <v>#REF!</v>
      </c>
      <c r="CS9" s="173" t="e">
        <f t="shared" si="93"/>
        <v>#REF!</v>
      </c>
      <c r="CT9" s="1"/>
      <c r="CU9" s="254">
        <v>0.26245000011926389</v>
      </c>
      <c r="CV9" s="252">
        <v>10466.088082901553</v>
      </c>
      <c r="CW9" s="254">
        <v>0.26245000071831759</v>
      </c>
      <c r="CX9" s="255">
        <v>10066.200000000001</v>
      </c>
      <c r="CY9" s="190" t="e">
        <f>VLOOKUP($B9,#REF!,13,FALSE)</f>
        <v>#REF!</v>
      </c>
      <c r="CZ9" s="172" t="e">
        <f>VLOOKUP($B9,#REF!,14,FALSE)</f>
        <v>#REF!</v>
      </c>
      <c r="DA9" s="190" t="e">
        <f>VLOOKUP($B9,#REF!,15,FALSE)</f>
        <v>#REF!</v>
      </c>
      <c r="DB9" s="189" t="e">
        <f>VLOOKUP($B9,#REF!,16,FALSE)</f>
        <v>#REF!</v>
      </c>
      <c r="DC9" s="190" t="e">
        <f t="shared" si="94"/>
        <v>#REF!</v>
      </c>
      <c r="DD9" s="190" t="e">
        <f t="shared" si="95"/>
        <v>#REF!</v>
      </c>
      <c r="DE9" s="190" t="e">
        <f t="shared" si="96"/>
        <v>#REF!</v>
      </c>
      <c r="DF9" s="190" t="e">
        <f t="shared" si="97"/>
        <v>#REF!</v>
      </c>
      <c r="DG9" s="1"/>
      <c r="DH9" s="253" t="s">
        <v>272</v>
      </c>
      <c r="DI9" s="253">
        <v>0</v>
      </c>
      <c r="DJ9" s="173">
        <f t="shared" si="98"/>
        <v>0</v>
      </c>
      <c r="DK9" s="172" t="e">
        <f>IF(VLOOKUP($B9,#REF!,6,FALSE)="Y","Yes","")</f>
        <v>#REF!</v>
      </c>
      <c r="DL9" s="172" t="e">
        <f>VLOOKUP($B9,#REF!,4,FALSE)</f>
        <v>#REF!</v>
      </c>
      <c r="DM9" s="173" t="e">
        <f t="shared" si="15"/>
        <v>#REF!</v>
      </c>
      <c r="DN9" s="1"/>
      <c r="DO9" s="172">
        <f t="shared" si="99"/>
        <v>2923145.5103461398</v>
      </c>
      <c r="DP9" s="252">
        <v>2773991.8638752638</v>
      </c>
      <c r="DQ9" s="172">
        <f t="shared" si="100"/>
        <v>-149153.64647087594</v>
      </c>
      <c r="DR9" s="173">
        <f t="shared" si="16"/>
        <v>-5.1025050221743543E-2</v>
      </c>
      <c r="DS9" s="172">
        <f t="shared" si="101"/>
        <v>2773991.8638752638</v>
      </c>
      <c r="DT9" s="252">
        <v>2824588.3508728696</v>
      </c>
      <c r="DU9" s="172">
        <f t="shared" si="102"/>
        <v>50596.486997605767</v>
      </c>
      <c r="DV9" s="173">
        <f t="shared" si="103"/>
        <v>1.7308918361581823E-2</v>
      </c>
      <c r="DW9" s="172">
        <f t="shared" si="104"/>
        <v>2824588.3508728696</v>
      </c>
      <c r="DX9" s="252">
        <v>2827018.9008804904</v>
      </c>
      <c r="DY9" s="172">
        <f t="shared" si="105"/>
        <v>2430.5500076208264</v>
      </c>
      <c r="DZ9" s="173">
        <f t="shared" si="106"/>
        <v>8.3148443996994747E-4</v>
      </c>
      <c r="EA9" s="172">
        <f t="shared" si="107"/>
        <v>2827018.9008804904</v>
      </c>
      <c r="EB9" s="252">
        <v>2871023.1836391147</v>
      </c>
      <c r="EC9" s="172">
        <f t="shared" si="108"/>
        <v>44004.282758624293</v>
      </c>
      <c r="ED9" s="173">
        <f t="shared" si="109"/>
        <v>1.5053743511185522E-2</v>
      </c>
      <c r="EE9" s="172">
        <f t="shared" si="110"/>
        <v>2871023.1836391147</v>
      </c>
      <c r="EF9" s="252">
        <v>2915043.5826910967</v>
      </c>
      <c r="EG9" s="172">
        <f t="shared" si="111"/>
        <v>44020.399051981978</v>
      </c>
      <c r="EH9" s="173">
        <f t="shared" si="112"/>
        <v>1.5059256850600423E-2</v>
      </c>
      <c r="EI9" s="172">
        <f t="shared" si="113"/>
        <v>2915043.5826910967</v>
      </c>
      <c r="EJ9" s="252">
        <v>2923145.5103461398</v>
      </c>
      <c r="EK9" s="172">
        <f t="shared" si="114"/>
        <v>8101.9276550430804</v>
      </c>
      <c r="EL9" s="173">
        <f t="shared" si="115"/>
        <v>2.7716470584058278E-3</v>
      </c>
      <c r="EM9" s="172">
        <f t="shared" si="116"/>
        <v>0</v>
      </c>
      <c r="EN9" s="173">
        <f t="shared" si="17"/>
        <v>0</v>
      </c>
      <c r="EO9" s="214"/>
      <c r="EP9" s="273">
        <v>1576918.2521871973</v>
      </c>
      <c r="EQ9" s="273">
        <v>1460201.6334408903</v>
      </c>
      <c r="ER9" s="172">
        <f t="shared" si="117"/>
        <v>-116716.61874630698</v>
      </c>
      <c r="ES9" s="173">
        <f t="shared" si="18"/>
        <v>-7.4015643223369482E-2</v>
      </c>
      <c r="ET9" s="273">
        <v>683981.04542603577</v>
      </c>
      <c r="EU9" s="273">
        <v>632816.48070428602</v>
      </c>
      <c r="EV9" s="172">
        <f t="shared" si="118"/>
        <v>-51164.564721749746</v>
      </c>
      <c r="EW9" s="173">
        <f t="shared" si="19"/>
        <v>-7.4804068130105178E-2</v>
      </c>
      <c r="EX9" s="273">
        <v>770149.64</v>
      </c>
      <c r="EY9" s="273">
        <v>710907.36</v>
      </c>
      <c r="EZ9" s="172">
        <f t="shared" si="119"/>
        <v>-59242.280000000028</v>
      </c>
      <c r="FA9" s="173">
        <f t="shared" si="20"/>
        <v>-7.6923076923076955E-2</v>
      </c>
      <c r="FB9" s="172">
        <f t="shared" si="120"/>
        <v>1460201.6334408903</v>
      </c>
      <c r="FC9" s="273">
        <v>1483022.5102133749</v>
      </c>
      <c r="FD9" s="172">
        <f t="shared" si="121"/>
        <v>22820.876772484509</v>
      </c>
      <c r="FE9" s="173">
        <f t="shared" si="21"/>
        <v>1.562857912897158E-2</v>
      </c>
      <c r="FF9" s="172">
        <f t="shared" si="122"/>
        <v>632816.48070428602</v>
      </c>
      <c r="FG9" s="273">
        <v>638805.81981574057</v>
      </c>
      <c r="FH9" s="172">
        <f t="shared" si="123"/>
        <v>5989.339111454552</v>
      </c>
      <c r="FI9" s="173">
        <f t="shared" si="22"/>
        <v>9.4645751083928531E-3</v>
      </c>
      <c r="FJ9" s="172">
        <f t="shared" si="124"/>
        <v>1483022.5102133749</v>
      </c>
      <c r="FK9" s="273">
        <v>1467770.5254974025</v>
      </c>
      <c r="FL9" s="172">
        <f t="shared" si="125"/>
        <v>-15251.984715972329</v>
      </c>
      <c r="FM9" s="173">
        <f t="shared" si="23"/>
        <v>-1.0284391916463829E-2</v>
      </c>
      <c r="FN9" s="172">
        <f t="shared" si="126"/>
        <v>638805.81981574057</v>
      </c>
      <c r="FO9" s="273">
        <v>634802.93642341136</v>
      </c>
      <c r="FP9" s="172">
        <f t="shared" si="127"/>
        <v>-4002.8833923292113</v>
      </c>
      <c r="FQ9" s="173">
        <f t="shared" si="24"/>
        <v>-6.2661974392841588E-3</v>
      </c>
      <c r="FR9" s="172">
        <f t="shared" si="128"/>
        <v>634802.93642341136</v>
      </c>
      <c r="FS9" s="273">
        <v>664443.01721741993</v>
      </c>
      <c r="FT9" s="172">
        <f t="shared" si="129"/>
        <v>29640.080794008565</v>
      </c>
      <c r="FU9" s="173">
        <f t="shared" si="25"/>
        <v>4.6691782746005973E-2</v>
      </c>
      <c r="FV9" s="172">
        <f t="shared" si="26"/>
        <v>710907.36</v>
      </c>
      <c r="FW9" s="273">
        <v>782923.2</v>
      </c>
      <c r="FX9" s="172">
        <f t="shared" si="130"/>
        <v>72015.839999999967</v>
      </c>
      <c r="FY9" s="173">
        <f t="shared" si="27"/>
        <v>0.1013013003550842</v>
      </c>
      <c r="FZ9" s="214"/>
      <c r="GA9" s="172">
        <f t="shared" si="28"/>
        <v>1576918.2521871973</v>
      </c>
      <c r="GB9" s="172">
        <f t="shared" si="29"/>
        <v>-116716.61874630698</v>
      </c>
      <c r="GC9" s="172">
        <f t="shared" si="30"/>
        <v>22820.876772484509</v>
      </c>
      <c r="GD9" s="172">
        <f t="shared" si="31"/>
        <v>-15251.984715972329</v>
      </c>
      <c r="GE9" s="172">
        <f t="shared" si="32"/>
        <v>-109147.7266897948</v>
      </c>
      <c r="GF9" s="172">
        <f t="shared" si="33"/>
        <v>1467770.5254974025</v>
      </c>
      <c r="GG9" s="173">
        <f t="shared" si="34"/>
        <v>-6.9215843331387722E-2</v>
      </c>
      <c r="GH9" s="244"/>
      <c r="GI9" s="172">
        <f t="shared" si="35"/>
        <v>683981.04542603577</v>
      </c>
      <c r="GJ9" s="172">
        <f t="shared" si="36"/>
        <v>-51164.564721749746</v>
      </c>
      <c r="GK9" s="172">
        <f t="shared" si="37"/>
        <v>5989.339111454552</v>
      </c>
      <c r="GL9" s="172">
        <f t="shared" si="38"/>
        <v>-4002.8833923292113</v>
      </c>
      <c r="GM9" s="172">
        <f t="shared" si="39"/>
        <v>29640.080794008565</v>
      </c>
      <c r="GN9" s="172">
        <f t="shared" si="40"/>
        <v>-19538.02820861584</v>
      </c>
      <c r="GO9" s="172">
        <f t="shared" si="41"/>
        <v>664443.01721741993</v>
      </c>
      <c r="GP9" s="173">
        <f t="shared" si="42"/>
        <v>-2.8565160305642767E-2</v>
      </c>
      <c r="GQ9" s="214"/>
      <c r="GR9" s="172">
        <f t="shared" si="43"/>
        <v>770149.64</v>
      </c>
      <c r="GS9" s="172">
        <f t="shared" si="44"/>
        <v>-59242.280000000028</v>
      </c>
      <c r="GT9" s="172">
        <f t="shared" si="45"/>
        <v>72015.839999999967</v>
      </c>
      <c r="GU9" s="172">
        <f t="shared" si="131"/>
        <v>12773.559999999939</v>
      </c>
      <c r="GV9" s="172">
        <f t="shared" si="132"/>
        <v>782923.2</v>
      </c>
      <c r="GW9" s="173">
        <f t="shared" si="133"/>
        <v>1.6585815712385373E-2</v>
      </c>
      <c r="GX9" s="214"/>
      <c r="GY9" s="273">
        <v>-107903.42726709368</v>
      </c>
      <c r="GZ9" s="172" t="e">
        <f t="shared" si="134"/>
        <v>#REF!</v>
      </c>
      <c r="HA9" s="172" t="e">
        <f>-VLOOKUP($B9,#REF!,23,FALSE)</f>
        <v>#REF!</v>
      </c>
    </row>
    <row r="10" spans="1:209" ht="15" customHeight="1" x14ac:dyDescent="0.45">
      <c r="A10" s="148">
        <v>2</v>
      </c>
      <c r="B10" s="212" t="s">
        <v>19</v>
      </c>
      <c r="C10" s="172">
        <v>7287810.4699355969</v>
      </c>
      <c r="D10" s="173">
        <f t="shared" si="0"/>
        <v>5.0592650856421334E-3</v>
      </c>
      <c r="E10" s="1"/>
      <c r="F10" s="252">
        <v>13150406.779345984</v>
      </c>
      <c r="G10" s="173">
        <f t="shared" si="1"/>
        <v>5.5956308404362326E-3</v>
      </c>
      <c r="H10" s="173">
        <f t="shared" si="46"/>
        <v>1.1060165351517695</v>
      </c>
      <c r="I10" s="172" t="e">
        <f>VLOOKUP($B10,#REF!,24,FALSE)</f>
        <v>#REF!</v>
      </c>
      <c r="J10" s="173" t="e">
        <f t="shared" si="2"/>
        <v>#REF!</v>
      </c>
      <c r="K10" s="173" t="e">
        <f t="shared" si="47"/>
        <v>#REF!</v>
      </c>
      <c r="L10" s="172" t="e">
        <f t="shared" si="48"/>
        <v>#REF!</v>
      </c>
      <c r="M10" s="173" t="e">
        <f t="shared" si="49"/>
        <v>#REF!</v>
      </c>
      <c r="N10" s="173" t="e">
        <f t="shared" si="50"/>
        <v>#REF!</v>
      </c>
      <c r="O10" s="176"/>
      <c r="P10" s="253">
        <v>135</v>
      </c>
      <c r="Q10" s="173">
        <f t="shared" si="3"/>
        <v>7.5091778840805428E-3</v>
      </c>
      <c r="R10" s="172" t="e">
        <f>VLOOKUP($B10,#REF!,4,FALSE)</f>
        <v>#REF!</v>
      </c>
      <c r="S10" s="173" t="e">
        <f t="shared" si="4"/>
        <v>#REF!</v>
      </c>
      <c r="T10" s="172" t="e">
        <f t="shared" si="51"/>
        <v>#REF!</v>
      </c>
      <c r="U10" s="173" t="e">
        <f t="shared" si="52"/>
        <v>#REF!</v>
      </c>
      <c r="V10" s="173" t="e">
        <f t="shared" si="53"/>
        <v>#REF!</v>
      </c>
      <c r="W10" s="1"/>
      <c r="X10" s="189">
        <f>VLOOKUP($B10,'Average RAS salary'!$A$5:$D$62,4,FALSE)</f>
        <v>50230.504236865745</v>
      </c>
      <c r="Y10" s="253">
        <v>52892.586029358827</v>
      </c>
      <c r="Z10" s="252" t="s">
        <v>272</v>
      </c>
      <c r="AA10" s="252" t="s">
        <v>272</v>
      </c>
      <c r="AB10" s="173">
        <f t="shared" si="5"/>
        <v>0.90669039375322835</v>
      </c>
      <c r="AC10" s="172" t="e">
        <f>VLOOKUP($B10,#REF!,3,FALSE)</f>
        <v>#REF!</v>
      </c>
      <c r="AD10" s="172" t="e">
        <f>VLOOKUP($B10,#REF!,5,FALSE)</f>
        <v>#REF!</v>
      </c>
      <c r="AE10" s="172" t="e">
        <f>VLOOKUP($B10,#REF!,6,FALSE)</f>
        <v>#REF!</v>
      </c>
      <c r="AF10" s="173" t="e">
        <f t="shared" si="6"/>
        <v>#REF!</v>
      </c>
      <c r="AG10" s="172" t="e">
        <f t="shared" si="54"/>
        <v>#REF!</v>
      </c>
      <c r="AH10" s="173" t="e">
        <f t="shared" si="7"/>
        <v>#REF!</v>
      </c>
      <c r="AI10" s="173" t="e">
        <f t="shared" si="8"/>
        <v>#REF!</v>
      </c>
      <c r="AJ10" s="189">
        <v>47518.076917836137</v>
      </c>
      <c r="AK10" s="189">
        <f>VLOOKUP($B10,'Average RAS salary'!$A$5:$D$62,4,FALSE)</f>
        <v>50230.504236865745</v>
      </c>
      <c r="AL10" s="189">
        <f t="shared" si="55"/>
        <v>2712.427319029608</v>
      </c>
      <c r="AM10" s="173">
        <f t="shared" si="56"/>
        <v>5.708200952070696E-2</v>
      </c>
      <c r="AN10" s="189" t="e">
        <f t="shared" si="57"/>
        <v>#REF!</v>
      </c>
      <c r="AO10" s="189" t="e">
        <f t="shared" si="58"/>
        <v>#REF!</v>
      </c>
      <c r="AP10" s="189" t="e">
        <f t="shared" si="59"/>
        <v>#REF!</v>
      </c>
      <c r="AQ10" s="189" t="e">
        <f t="shared" si="135"/>
        <v>#REF!</v>
      </c>
      <c r="AR10" s="189" t="e">
        <f t="shared" si="60"/>
        <v>#REF!</v>
      </c>
      <c r="AS10" s="189" t="e">
        <f t="shared" si="9"/>
        <v>#REF!</v>
      </c>
      <c r="AT10" s="213" t="e">
        <f t="shared" si="61"/>
        <v>#REF!</v>
      </c>
      <c r="AU10" s="173" t="e">
        <f t="shared" si="62"/>
        <v>#REF!</v>
      </c>
      <c r="AV10" s="189"/>
      <c r="AW10" s="189">
        <f>VLOOKUP($B10,'Average RAS salary'!$A$5:$D$62,4,FALSE)</f>
        <v>50230.504236865745</v>
      </c>
      <c r="AX10" s="189" t="e">
        <f t="shared" si="10"/>
        <v>#REF!</v>
      </c>
      <c r="AY10" s="189">
        <v>46957.554570685417</v>
      </c>
      <c r="AZ10" s="189" t="e">
        <f t="shared" si="11"/>
        <v>#REF!</v>
      </c>
      <c r="BA10" s="189" t="e">
        <f t="shared" si="63"/>
        <v>#REF!</v>
      </c>
      <c r="BB10" s="189" t="e">
        <f t="shared" si="64"/>
        <v>#REF!</v>
      </c>
      <c r="BC10" s="189" t="e">
        <f t="shared" si="65"/>
        <v>#REF!</v>
      </c>
      <c r="BD10" s="213">
        <f t="shared" si="66"/>
        <v>-3272.9496661803278</v>
      </c>
      <c r="BE10" s="173">
        <f t="shared" si="67"/>
        <v>-6.5158606625696724E-2</v>
      </c>
      <c r="BF10" s="189"/>
      <c r="BG10" s="189">
        <f>VLOOKUP($B10,'Average RAS salary'!$A$5:$D$62,4,FALSE)</f>
        <v>50230.504236865745</v>
      </c>
      <c r="BH10" s="189" t="e">
        <f t="shared" si="68"/>
        <v>#REF!</v>
      </c>
      <c r="BI10" s="189" t="e">
        <f>$BG$65*#REF!</f>
        <v>#REF!</v>
      </c>
      <c r="BJ10" s="189" t="e">
        <f t="shared" si="69"/>
        <v>#REF!</v>
      </c>
      <c r="BK10" s="189" t="e">
        <f t="shared" si="12"/>
        <v>#REF!</v>
      </c>
      <c r="BL10" s="189" t="e">
        <f t="shared" si="13"/>
        <v>#REF!</v>
      </c>
      <c r="BM10" s="189" t="e">
        <f t="shared" si="70"/>
        <v>#REF!</v>
      </c>
      <c r="BN10" s="213" t="e">
        <f t="shared" si="71"/>
        <v>#REF!</v>
      </c>
      <c r="BO10" s="173" t="e">
        <f t="shared" si="72"/>
        <v>#REF!</v>
      </c>
      <c r="BP10" s="189"/>
      <c r="BQ10" s="189">
        <f>VLOOKUP($B10,'Average RAS salary'!$A$5:$D$62,4,FALSE)</f>
        <v>50230.504236865745</v>
      </c>
      <c r="BR10" s="189" t="e">
        <f t="shared" si="73"/>
        <v>#REF!</v>
      </c>
      <c r="BS10" s="189" t="e">
        <f>VLOOKUP($B10,#REF!,19,FALSE)*$BQ$65</f>
        <v>#REF!</v>
      </c>
      <c r="BT10" s="189" t="e">
        <f t="shared" si="74"/>
        <v>#REF!</v>
      </c>
      <c r="BU10" s="189" t="e">
        <f t="shared" si="75"/>
        <v>#REF!</v>
      </c>
      <c r="BV10" s="189" t="e">
        <f t="shared" si="76"/>
        <v>#REF!</v>
      </c>
      <c r="BW10" s="189" t="e">
        <f t="shared" si="77"/>
        <v>#REF!</v>
      </c>
      <c r="BX10" s="213" t="e">
        <f t="shared" si="78"/>
        <v>#REF!</v>
      </c>
      <c r="BY10" s="173" t="e">
        <f t="shared" si="79"/>
        <v>#REF!</v>
      </c>
      <c r="BZ10" s="189"/>
      <c r="CA10" s="189">
        <f>VLOOKUP($B10,'Average RAS salary'!$A$5:$D$62,4,FALSE)</f>
        <v>50230.504236865745</v>
      </c>
      <c r="CB10" s="189" t="e">
        <f t="shared" si="80"/>
        <v>#REF!</v>
      </c>
      <c r="CC10" s="189" t="e">
        <f>IF(VLOOKUP($B10,#REF!,7,FALSE)&gt;VLOOKUP($B10,#REF!,19,FALSE)*$CA$65,VLOOKUP($B10,#REF!,19,FALSE)*$CA$65,VLOOKUP($B10,#REF!,7,FALSE))</f>
        <v>#REF!</v>
      </c>
      <c r="CD10" s="189" t="e">
        <f t="shared" si="81"/>
        <v>#REF!</v>
      </c>
      <c r="CE10" s="189" t="e">
        <f t="shared" si="82"/>
        <v>#REF!</v>
      </c>
      <c r="CF10" s="189" t="e">
        <f t="shared" si="83"/>
        <v>#REF!</v>
      </c>
      <c r="CG10" s="189" t="e">
        <f t="shared" si="84"/>
        <v>#REF!</v>
      </c>
      <c r="CH10" s="213" t="e">
        <f t="shared" si="85"/>
        <v>#REF!</v>
      </c>
      <c r="CI10" s="173" t="e">
        <f t="shared" si="86"/>
        <v>#REF!</v>
      </c>
      <c r="CJ10" s="189"/>
      <c r="CK10" s="189">
        <f>VLOOKUP($B10,'Average RAS salary'!$A$5:$D$62,4,FALSE)</f>
        <v>50230.504236865745</v>
      </c>
      <c r="CL10" s="189" t="e">
        <f t="shared" si="87"/>
        <v>#REF!</v>
      </c>
      <c r="CM10" s="189" t="e">
        <f>IF($AY10&gt;VLOOKUP($B10,#REF!,19,FALSE)*$CK$65,VLOOKUP($B10,#REF!,19,FALSE)*$CK$65,$AY10)</f>
        <v>#REF!</v>
      </c>
      <c r="CN10" s="189" t="e">
        <f t="shared" si="88"/>
        <v>#REF!</v>
      </c>
      <c r="CO10" s="189" t="e">
        <f t="shared" si="89"/>
        <v>#REF!</v>
      </c>
      <c r="CP10" s="189" t="e">
        <f t="shared" si="90"/>
        <v>#REF!</v>
      </c>
      <c r="CQ10" s="189" t="e">
        <f t="shared" si="91"/>
        <v>#REF!</v>
      </c>
      <c r="CR10" s="213" t="e">
        <f t="shared" si="92"/>
        <v>#REF!</v>
      </c>
      <c r="CS10" s="173" t="e">
        <f t="shared" si="93"/>
        <v>#REF!</v>
      </c>
      <c r="CT10" s="1"/>
      <c r="CU10" s="254">
        <v>0.26749468905766344</v>
      </c>
      <c r="CV10" s="252">
        <v>11194.371113734751</v>
      </c>
      <c r="CW10" s="254">
        <v>0.26606524441416968</v>
      </c>
      <c r="CX10" s="255">
        <v>11187.194444444447</v>
      </c>
      <c r="CY10" s="190" t="e">
        <f>VLOOKUP($B10,#REF!,13,FALSE)</f>
        <v>#REF!</v>
      </c>
      <c r="CZ10" s="172" t="e">
        <f>VLOOKUP($B10,#REF!,14,FALSE)</f>
        <v>#REF!</v>
      </c>
      <c r="DA10" s="190" t="e">
        <f>VLOOKUP($B10,#REF!,15,FALSE)</f>
        <v>#REF!</v>
      </c>
      <c r="DB10" s="189" t="e">
        <f>VLOOKUP($B10,#REF!,16,FALSE)</f>
        <v>#REF!</v>
      </c>
      <c r="DC10" s="190" t="e">
        <f t="shared" si="94"/>
        <v>#REF!</v>
      </c>
      <c r="DD10" s="190" t="e">
        <f t="shared" si="95"/>
        <v>#REF!</v>
      </c>
      <c r="DE10" s="190" t="e">
        <f t="shared" si="96"/>
        <v>#REF!</v>
      </c>
      <c r="DF10" s="190" t="e">
        <f t="shared" si="97"/>
        <v>#REF!</v>
      </c>
      <c r="DG10" s="1"/>
      <c r="DH10" s="253" t="s">
        <v>272</v>
      </c>
      <c r="DI10" s="253">
        <v>0</v>
      </c>
      <c r="DJ10" s="173">
        <f t="shared" si="98"/>
        <v>0</v>
      </c>
      <c r="DK10" s="172" t="e">
        <f>IF(VLOOKUP($B10,#REF!,6,FALSE)="Y","Yes","")</f>
        <v>#REF!</v>
      </c>
      <c r="DL10" s="172" t="e">
        <f>VLOOKUP($B10,#REF!,4,FALSE)</f>
        <v>#REF!</v>
      </c>
      <c r="DM10" s="173" t="e">
        <f t="shared" si="15"/>
        <v>#REF!</v>
      </c>
      <c r="DN10" s="1"/>
      <c r="DO10" s="172">
        <f t="shared" si="99"/>
        <v>13150406.779345984</v>
      </c>
      <c r="DP10" s="252">
        <v>12924752.530736124</v>
      </c>
      <c r="DQ10" s="172">
        <f t="shared" si="100"/>
        <v>-225654.2486098595</v>
      </c>
      <c r="DR10" s="173">
        <f t="shared" si="16"/>
        <v>-1.7159488097681651E-2</v>
      </c>
      <c r="DS10" s="172">
        <f t="shared" si="101"/>
        <v>12924752.530736124</v>
      </c>
      <c r="DT10" s="252">
        <v>13148599.106077405</v>
      </c>
      <c r="DU10" s="172">
        <f t="shared" si="102"/>
        <v>223846.57534128055</v>
      </c>
      <c r="DV10" s="173">
        <f t="shared" si="103"/>
        <v>1.7022026702082992E-2</v>
      </c>
      <c r="DW10" s="172">
        <f t="shared" si="104"/>
        <v>13148599.106077405</v>
      </c>
      <c r="DX10" s="252">
        <v>13128509.319953891</v>
      </c>
      <c r="DY10" s="172">
        <f t="shared" si="105"/>
        <v>-20089.786123514175</v>
      </c>
      <c r="DZ10" s="173">
        <f t="shared" si="106"/>
        <v>-1.527693132281442E-3</v>
      </c>
      <c r="EA10" s="172">
        <f t="shared" si="107"/>
        <v>13128509.319953891</v>
      </c>
      <c r="EB10" s="252">
        <v>13043400.110522384</v>
      </c>
      <c r="EC10" s="172">
        <f t="shared" si="108"/>
        <v>-85109.209431506693</v>
      </c>
      <c r="ED10" s="173">
        <f t="shared" si="109"/>
        <v>-6.4719830237631231E-3</v>
      </c>
      <c r="EE10" s="172">
        <f t="shared" si="110"/>
        <v>13043400.110522384</v>
      </c>
      <c r="EF10" s="252">
        <v>13131671.626361787</v>
      </c>
      <c r="EG10" s="172">
        <f t="shared" si="111"/>
        <v>88271.515839403495</v>
      </c>
      <c r="EH10" s="173">
        <f t="shared" si="112"/>
        <v>6.7124551597934337E-3</v>
      </c>
      <c r="EI10" s="172">
        <f t="shared" si="113"/>
        <v>13131671.626361787</v>
      </c>
      <c r="EJ10" s="252">
        <v>13150406.779345984</v>
      </c>
      <c r="EK10" s="172">
        <f t="shared" si="114"/>
        <v>18735.15298419632</v>
      </c>
      <c r="EL10" s="173">
        <f t="shared" si="115"/>
        <v>1.4246823918497892E-3</v>
      </c>
      <c r="EM10" s="172">
        <f t="shared" si="116"/>
        <v>0</v>
      </c>
      <c r="EN10" s="173">
        <f t="shared" si="17"/>
        <v>0</v>
      </c>
      <c r="EO10" s="214"/>
      <c r="EP10" s="273">
        <v>7231596.2159852451</v>
      </c>
      <c r="EQ10" s="273">
        <v>6914240.6998090921</v>
      </c>
      <c r="ER10" s="172">
        <f t="shared" si="117"/>
        <v>-317355.51617615297</v>
      </c>
      <c r="ES10" s="173">
        <f t="shared" si="18"/>
        <v>-4.388457357099769E-2</v>
      </c>
      <c r="ET10" s="273">
        <v>3443785.0057207369</v>
      </c>
      <c r="EU10" s="273">
        <v>3291810.647611124</v>
      </c>
      <c r="EV10" s="172">
        <f t="shared" si="118"/>
        <v>-151974.35810961295</v>
      </c>
      <c r="EW10" s="173">
        <f t="shared" si="19"/>
        <v>-4.4130036531652414E-2</v>
      </c>
      <c r="EX10" s="273">
        <v>2827052.5500000003</v>
      </c>
      <c r="EY10" s="273">
        <v>2701405.77</v>
      </c>
      <c r="EZ10" s="172">
        <f t="shared" si="119"/>
        <v>-125646.78000000026</v>
      </c>
      <c r="FA10" s="173">
        <f t="shared" si="20"/>
        <v>-4.4444444444444529E-2</v>
      </c>
      <c r="FB10" s="172">
        <f t="shared" si="120"/>
        <v>6914240.6998090921</v>
      </c>
      <c r="FC10" s="273">
        <v>7055370.6986137182</v>
      </c>
      <c r="FD10" s="172">
        <f t="shared" si="121"/>
        <v>141129.99880462606</v>
      </c>
      <c r="FE10" s="173">
        <f t="shared" si="21"/>
        <v>2.0411496349631388E-2</v>
      </c>
      <c r="FF10" s="172">
        <f t="shared" si="122"/>
        <v>3291810.647611124</v>
      </c>
      <c r="FG10" s="273">
        <v>3329523.9930647183</v>
      </c>
      <c r="FH10" s="172">
        <f t="shared" si="123"/>
        <v>37713.345453594346</v>
      </c>
      <c r="FI10" s="173">
        <f t="shared" si="22"/>
        <v>1.1456717743155435E-2</v>
      </c>
      <c r="FJ10" s="172">
        <f t="shared" si="124"/>
        <v>7055370.6986137182</v>
      </c>
      <c r="FK10" s="273">
        <v>7013547.4462371087</v>
      </c>
      <c r="FL10" s="172">
        <f t="shared" si="125"/>
        <v>-41823.252376609482</v>
      </c>
      <c r="FM10" s="173">
        <f t="shared" si="23"/>
        <v>-5.9278603723582042E-3</v>
      </c>
      <c r="FN10" s="172">
        <f t="shared" si="126"/>
        <v>3329523.9930647183</v>
      </c>
      <c r="FO10" s="273">
        <v>3318346.4571720413</v>
      </c>
      <c r="FP10" s="172">
        <f t="shared" si="127"/>
        <v>-11177.535892677028</v>
      </c>
      <c r="FQ10" s="173">
        <f t="shared" si="24"/>
        <v>-3.3570972655428953E-3</v>
      </c>
      <c r="FR10" s="172">
        <f t="shared" si="128"/>
        <v>3318346.4571720413</v>
      </c>
      <c r="FS10" s="273">
        <v>3281669.3216165602</v>
      </c>
      <c r="FT10" s="172">
        <f t="shared" si="129"/>
        <v>-36677.135555481073</v>
      </c>
      <c r="FU10" s="173">
        <f t="shared" si="25"/>
        <v>-1.1052834907039222E-2</v>
      </c>
      <c r="FV10" s="172">
        <f t="shared" si="26"/>
        <v>2701405.77</v>
      </c>
      <c r="FW10" s="273">
        <v>2935505.94</v>
      </c>
      <c r="FX10" s="172">
        <f t="shared" si="130"/>
        <v>234100.16999999993</v>
      </c>
      <c r="FY10" s="173">
        <f t="shared" si="27"/>
        <v>8.6658647360481469E-2</v>
      </c>
      <c r="FZ10" s="214"/>
      <c r="GA10" s="172">
        <f t="shared" si="28"/>
        <v>7231596.2159852451</v>
      </c>
      <c r="GB10" s="172">
        <f t="shared" si="29"/>
        <v>-317355.51617615297</v>
      </c>
      <c r="GC10" s="172">
        <f t="shared" si="30"/>
        <v>141129.99880462606</v>
      </c>
      <c r="GD10" s="172">
        <f t="shared" si="31"/>
        <v>-41823.252376609482</v>
      </c>
      <c r="GE10" s="172">
        <f t="shared" si="32"/>
        <v>-218048.7697481364</v>
      </c>
      <c r="GF10" s="172">
        <f t="shared" si="33"/>
        <v>7013547.4462371087</v>
      </c>
      <c r="GG10" s="173">
        <f t="shared" si="34"/>
        <v>-3.0152232402874703E-2</v>
      </c>
      <c r="GH10" s="244"/>
      <c r="GI10" s="172">
        <f t="shared" si="35"/>
        <v>3443785.0057207369</v>
      </c>
      <c r="GJ10" s="172">
        <f t="shared" si="36"/>
        <v>-151974.35810961295</v>
      </c>
      <c r="GK10" s="172">
        <f t="shared" si="37"/>
        <v>37713.345453594346</v>
      </c>
      <c r="GL10" s="172">
        <f t="shared" si="38"/>
        <v>-11177.535892677028</v>
      </c>
      <c r="GM10" s="172">
        <f t="shared" si="39"/>
        <v>-36677.135555481073</v>
      </c>
      <c r="GN10" s="172">
        <f t="shared" si="40"/>
        <v>-162115.6841041767</v>
      </c>
      <c r="GO10" s="172">
        <f t="shared" si="41"/>
        <v>3281669.3216165602</v>
      </c>
      <c r="GP10" s="173">
        <f t="shared" si="42"/>
        <v>-4.7074856251152097E-2</v>
      </c>
      <c r="GQ10" s="214"/>
      <c r="GR10" s="172">
        <f t="shared" si="43"/>
        <v>2827052.5500000003</v>
      </c>
      <c r="GS10" s="172">
        <f t="shared" si="44"/>
        <v>-125646.78000000026</v>
      </c>
      <c r="GT10" s="172">
        <f t="shared" si="45"/>
        <v>234100.16999999993</v>
      </c>
      <c r="GU10" s="172">
        <f t="shared" si="131"/>
        <v>108453.38999999966</v>
      </c>
      <c r="GV10" s="172">
        <f t="shared" si="132"/>
        <v>2935505.94</v>
      </c>
      <c r="GW10" s="173">
        <f t="shared" si="133"/>
        <v>3.8362707477793315E-2</v>
      </c>
      <c r="GX10" s="214"/>
      <c r="GY10" s="273">
        <v>-352026.99236000003</v>
      </c>
      <c r="GZ10" s="172" t="e">
        <f t="shared" si="134"/>
        <v>#REF!</v>
      </c>
      <c r="HA10" s="172" t="e">
        <f>-VLOOKUP($B10,#REF!,23,FALSE)</f>
        <v>#REF!</v>
      </c>
    </row>
    <row r="11" spans="1:209" ht="15" customHeight="1" x14ac:dyDescent="0.45">
      <c r="A11" s="148">
        <v>1</v>
      </c>
      <c r="B11" s="215" t="s">
        <v>6</v>
      </c>
      <c r="C11" s="172">
        <v>1950891.514090304</v>
      </c>
      <c r="D11" s="173">
        <f t="shared" si="0"/>
        <v>1.3543268398416262E-3</v>
      </c>
      <c r="E11" s="1"/>
      <c r="F11" s="252">
        <v>2760256.374409779</v>
      </c>
      <c r="G11" s="173">
        <f t="shared" si="1"/>
        <v>1.1745169526175077E-3</v>
      </c>
      <c r="H11" s="173">
        <f t="shared" si="46"/>
        <v>0.86723301795809837</v>
      </c>
      <c r="I11" s="172" t="e">
        <f>VLOOKUP($B11,#REF!,24,FALSE)</f>
        <v>#REF!</v>
      </c>
      <c r="J11" s="173" t="e">
        <f t="shared" si="2"/>
        <v>#REF!</v>
      </c>
      <c r="K11" s="173" t="e">
        <f t="shared" si="47"/>
        <v>#REF!</v>
      </c>
      <c r="L11" s="172" t="e">
        <f t="shared" si="48"/>
        <v>#REF!</v>
      </c>
      <c r="M11" s="173" t="e">
        <f t="shared" si="49"/>
        <v>#REF!</v>
      </c>
      <c r="N11" s="173" t="e">
        <f t="shared" si="50"/>
        <v>#REF!</v>
      </c>
      <c r="O11" s="176"/>
      <c r="P11" s="253">
        <v>26</v>
      </c>
      <c r="Q11" s="173">
        <f t="shared" si="3"/>
        <v>1.4462120369340304E-3</v>
      </c>
      <c r="R11" s="172" t="e">
        <f>VLOOKUP($B11,#REF!,4,FALSE)</f>
        <v>#REF!</v>
      </c>
      <c r="S11" s="173" t="e">
        <f t="shared" si="4"/>
        <v>#REF!</v>
      </c>
      <c r="T11" s="172" t="e">
        <f t="shared" si="51"/>
        <v>#REF!</v>
      </c>
      <c r="U11" s="173" t="e">
        <f t="shared" si="52"/>
        <v>#REF!</v>
      </c>
      <c r="V11" s="173" t="e">
        <f t="shared" si="53"/>
        <v>#REF!</v>
      </c>
      <c r="W11" s="1"/>
      <c r="X11" s="189">
        <f>VLOOKUP($B11,'Average RAS salary'!$A$5:$D$62,4,FALSE)</f>
        <v>56088.568888888913</v>
      </c>
      <c r="Y11" s="253">
        <v>52233.604367251806</v>
      </c>
      <c r="Z11" s="252" t="s">
        <v>273</v>
      </c>
      <c r="AA11" s="252" t="s">
        <v>272</v>
      </c>
      <c r="AB11" s="173">
        <f t="shared" si="5"/>
        <v>0.89539405928472038</v>
      </c>
      <c r="AC11" s="172" t="e">
        <f>VLOOKUP($B11,#REF!,3,FALSE)</f>
        <v>#REF!</v>
      </c>
      <c r="AD11" s="172" t="e">
        <f>VLOOKUP($B11,#REF!,5,FALSE)</f>
        <v>#REF!</v>
      </c>
      <c r="AE11" s="172" t="e">
        <f>VLOOKUP($B11,#REF!,6,FALSE)</f>
        <v>#REF!</v>
      </c>
      <c r="AF11" s="173" t="e">
        <f t="shared" si="6"/>
        <v>#REF!</v>
      </c>
      <c r="AG11" s="172" t="e">
        <f t="shared" si="54"/>
        <v>#REF!</v>
      </c>
      <c r="AH11" s="173" t="e">
        <f t="shared" si="7"/>
        <v>#REF!</v>
      </c>
      <c r="AI11" s="173" t="e">
        <f t="shared" si="8"/>
        <v>#REF!</v>
      </c>
      <c r="AJ11" s="189">
        <v>55640.817669172917</v>
      </c>
      <c r="AK11" s="189">
        <f>VLOOKUP($B11,'Average RAS salary'!$A$5:$D$62,4,FALSE)</f>
        <v>56088.568888888913</v>
      </c>
      <c r="AL11" s="189">
        <f t="shared" si="55"/>
        <v>447.75121971599583</v>
      </c>
      <c r="AM11" s="173">
        <f t="shared" si="56"/>
        <v>8.0471718150911843E-3</v>
      </c>
      <c r="AN11" s="189" t="e">
        <f t="shared" si="57"/>
        <v>#REF!</v>
      </c>
      <c r="AO11" s="189" t="e">
        <f t="shared" si="58"/>
        <v>#REF!</v>
      </c>
      <c r="AP11" s="189" t="e">
        <f t="shared" si="59"/>
        <v>#REF!</v>
      </c>
      <c r="AQ11" s="189" t="e">
        <f t="shared" si="135"/>
        <v>#REF!</v>
      </c>
      <c r="AR11" s="189" t="e">
        <f t="shared" si="60"/>
        <v>#REF!</v>
      </c>
      <c r="AS11" s="189" t="e">
        <f t="shared" si="9"/>
        <v>#REF!</v>
      </c>
      <c r="AT11" s="213" t="e">
        <f t="shared" si="61"/>
        <v>#REF!</v>
      </c>
      <c r="AU11" s="173" t="e">
        <f t="shared" si="62"/>
        <v>#REF!</v>
      </c>
      <c r="AV11" s="189"/>
      <c r="AW11" s="189">
        <f>VLOOKUP($B11,'Average RAS salary'!$A$5:$D$62,4,FALSE)</f>
        <v>56088.568888888913</v>
      </c>
      <c r="AX11" s="189" t="e">
        <f t="shared" si="10"/>
        <v>#REF!</v>
      </c>
      <c r="AY11" s="189">
        <v>45810.582935597049</v>
      </c>
      <c r="AZ11" s="189" t="e">
        <f t="shared" si="11"/>
        <v>#REF!</v>
      </c>
      <c r="BA11" s="189" t="e">
        <f t="shared" si="63"/>
        <v>#REF!</v>
      </c>
      <c r="BB11" s="189" t="e">
        <f t="shared" si="64"/>
        <v>#REF!</v>
      </c>
      <c r="BC11" s="189" t="e">
        <f t="shared" si="65"/>
        <v>#REF!</v>
      </c>
      <c r="BD11" s="213">
        <f t="shared" si="66"/>
        <v>-10277.985953291864</v>
      </c>
      <c r="BE11" s="173">
        <f t="shared" si="67"/>
        <v>-0.1832456444672797</v>
      </c>
      <c r="BF11" s="189"/>
      <c r="BG11" s="189">
        <f>VLOOKUP($B11,'Average RAS salary'!$A$5:$D$62,4,FALSE)</f>
        <v>56088.568888888913</v>
      </c>
      <c r="BH11" s="189" t="e">
        <f t="shared" si="68"/>
        <v>#REF!</v>
      </c>
      <c r="BI11" s="189" t="e">
        <f>$BG$65*#REF!</f>
        <v>#REF!</v>
      </c>
      <c r="BJ11" s="189" t="e">
        <f t="shared" si="69"/>
        <v>#REF!</v>
      </c>
      <c r="BK11" s="189" t="e">
        <f t="shared" si="12"/>
        <v>#REF!</v>
      </c>
      <c r="BL11" s="189" t="e">
        <f t="shared" si="13"/>
        <v>#REF!</v>
      </c>
      <c r="BM11" s="189" t="e">
        <f t="shared" si="70"/>
        <v>#REF!</v>
      </c>
      <c r="BN11" s="213" t="e">
        <f t="shared" si="71"/>
        <v>#REF!</v>
      </c>
      <c r="BO11" s="173" t="e">
        <f t="shared" si="72"/>
        <v>#REF!</v>
      </c>
      <c r="BP11" s="189"/>
      <c r="BQ11" s="189">
        <f>VLOOKUP($B11,'Average RAS salary'!$A$5:$D$62,4,FALSE)</f>
        <v>56088.568888888913</v>
      </c>
      <c r="BR11" s="189" t="e">
        <f t="shared" si="73"/>
        <v>#REF!</v>
      </c>
      <c r="BS11" s="189" t="e">
        <f>VLOOKUP($B11,#REF!,19,FALSE)*$BQ$65</f>
        <v>#REF!</v>
      </c>
      <c r="BT11" s="189" t="e">
        <f t="shared" si="74"/>
        <v>#REF!</v>
      </c>
      <c r="BU11" s="189" t="e">
        <f t="shared" si="75"/>
        <v>#REF!</v>
      </c>
      <c r="BV11" s="189" t="e">
        <f t="shared" si="76"/>
        <v>#REF!</v>
      </c>
      <c r="BW11" s="189" t="e">
        <f t="shared" si="77"/>
        <v>#REF!</v>
      </c>
      <c r="BX11" s="213" t="e">
        <f t="shared" si="78"/>
        <v>#REF!</v>
      </c>
      <c r="BY11" s="173" t="e">
        <f t="shared" si="79"/>
        <v>#REF!</v>
      </c>
      <c r="BZ11" s="189"/>
      <c r="CA11" s="189">
        <f>VLOOKUP($B11,'Average RAS salary'!$A$5:$D$62,4,FALSE)</f>
        <v>56088.568888888913</v>
      </c>
      <c r="CB11" s="189" t="e">
        <f t="shared" si="80"/>
        <v>#REF!</v>
      </c>
      <c r="CC11" s="189" t="e">
        <f>IF(VLOOKUP($B11,#REF!,7,FALSE)&gt;VLOOKUP($B11,#REF!,19,FALSE)*$CA$65,VLOOKUP($B11,#REF!,19,FALSE)*$CA$65,VLOOKUP($B11,#REF!,7,FALSE))</f>
        <v>#REF!</v>
      </c>
      <c r="CD11" s="189" t="e">
        <f t="shared" si="81"/>
        <v>#REF!</v>
      </c>
      <c r="CE11" s="189" t="e">
        <f t="shared" si="82"/>
        <v>#REF!</v>
      </c>
      <c r="CF11" s="189" t="e">
        <f t="shared" si="83"/>
        <v>#REF!</v>
      </c>
      <c r="CG11" s="189" t="e">
        <f t="shared" si="84"/>
        <v>#REF!</v>
      </c>
      <c r="CH11" s="213" t="e">
        <f t="shared" si="85"/>
        <v>#REF!</v>
      </c>
      <c r="CI11" s="173" t="e">
        <f t="shared" si="86"/>
        <v>#REF!</v>
      </c>
      <c r="CJ11" s="189"/>
      <c r="CK11" s="189">
        <f>VLOOKUP($B11,'Average RAS salary'!$A$5:$D$62,4,FALSE)</f>
        <v>56088.568888888913</v>
      </c>
      <c r="CL11" s="189" t="e">
        <f t="shared" si="87"/>
        <v>#REF!</v>
      </c>
      <c r="CM11" s="189" t="e">
        <f>IF($AY11&gt;VLOOKUP($B11,#REF!,19,FALSE)*$CK$65,VLOOKUP($B11,#REF!,19,FALSE)*$CK$65,$AY11)</f>
        <v>#REF!</v>
      </c>
      <c r="CN11" s="189" t="e">
        <f t="shared" si="88"/>
        <v>#REF!</v>
      </c>
      <c r="CO11" s="189" t="e">
        <f t="shared" si="89"/>
        <v>#REF!</v>
      </c>
      <c r="CP11" s="189" t="e">
        <f t="shared" si="90"/>
        <v>#REF!</v>
      </c>
      <c r="CQ11" s="189" t="e">
        <f t="shared" si="91"/>
        <v>#REF!</v>
      </c>
      <c r="CR11" s="213" t="e">
        <f t="shared" si="92"/>
        <v>#REF!</v>
      </c>
      <c r="CS11" s="173" t="e">
        <f t="shared" si="93"/>
        <v>#REF!</v>
      </c>
      <c r="CT11" s="1"/>
      <c r="CU11" s="254">
        <v>0.21432049143811091</v>
      </c>
      <c r="CV11" s="252">
        <v>16072.55745591939</v>
      </c>
      <c r="CW11" s="254">
        <v>0.21896999932973227</v>
      </c>
      <c r="CX11" s="255">
        <v>19884.061304347822</v>
      </c>
      <c r="CY11" s="190" t="e">
        <f>VLOOKUP($B11,#REF!,13,FALSE)</f>
        <v>#REF!</v>
      </c>
      <c r="CZ11" s="172" t="e">
        <f>VLOOKUP($B11,#REF!,14,FALSE)</f>
        <v>#REF!</v>
      </c>
      <c r="DA11" s="190" t="e">
        <f>VLOOKUP($B11,#REF!,15,FALSE)</f>
        <v>#REF!</v>
      </c>
      <c r="DB11" s="189" t="e">
        <f>VLOOKUP($B11,#REF!,16,FALSE)</f>
        <v>#REF!</v>
      </c>
      <c r="DC11" s="190" t="e">
        <f t="shared" si="94"/>
        <v>#REF!</v>
      </c>
      <c r="DD11" s="190" t="e">
        <f t="shared" si="95"/>
        <v>#REF!</v>
      </c>
      <c r="DE11" s="190" t="e">
        <f t="shared" si="96"/>
        <v>#REF!</v>
      </c>
      <c r="DF11" s="190" t="e">
        <f t="shared" si="97"/>
        <v>#REF!</v>
      </c>
      <c r="DG11" s="1"/>
      <c r="DH11" s="253" t="s">
        <v>272</v>
      </c>
      <c r="DI11" s="253">
        <v>0</v>
      </c>
      <c r="DJ11" s="173">
        <f t="shared" si="98"/>
        <v>0</v>
      </c>
      <c r="DK11" s="172" t="e">
        <f>IF(VLOOKUP($B11,#REF!,6,FALSE)="Y","Yes","")</f>
        <v>#REF!</v>
      </c>
      <c r="DL11" s="172" t="e">
        <f>VLOOKUP($B11,#REF!,4,FALSE)</f>
        <v>#REF!</v>
      </c>
      <c r="DM11" s="173" t="e">
        <f t="shared" si="15"/>
        <v>#REF!</v>
      </c>
      <c r="DN11" s="1"/>
      <c r="DO11" s="172">
        <f t="shared" si="99"/>
        <v>2760256.374409779</v>
      </c>
      <c r="DP11" s="252">
        <v>2613459.2568820547</v>
      </c>
      <c r="DQ11" s="172">
        <f t="shared" si="100"/>
        <v>-146797.11752772424</v>
      </c>
      <c r="DR11" s="173">
        <f t="shared" si="16"/>
        <v>-5.3182421346319189E-2</v>
      </c>
      <c r="DS11" s="172">
        <f t="shared" si="101"/>
        <v>2613459.2568820547</v>
      </c>
      <c r="DT11" s="252">
        <v>2656936.9599945955</v>
      </c>
      <c r="DU11" s="172">
        <f t="shared" si="102"/>
        <v>43477.703112540767</v>
      </c>
      <c r="DV11" s="173">
        <f t="shared" si="103"/>
        <v>1.5751327853318529E-2</v>
      </c>
      <c r="DW11" s="172">
        <f t="shared" si="104"/>
        <v>2656936.9599945955</v>
      </c>
      <c r="DX11" s="252">
        <v>2673887.2665066384</v>
      </c>
      <c r="DY11" s="172">
        <f t="shared" si="105"/>
        <v>16950.30651204288</v>
      </c>
      <c r="DZ11" s="173">
        <f t="shared" si="106"/>
        <v>6.1408449842516302E-3</v>
      </c>
      <c r="EA11" s="172">
        <f t="shared" si="107"/>
        <v>2673887.2665066384</v>
      </c>
      <c r="EB11" s="252">
        <v>2723164.3915175358</v>
      </c>
      <c r="EC11" s="172">
        <f t="shared" si="108"/>
        <v>49277.125010897405</v>
      </c>
      <c r="ED11" s="173">
        <f t="shared" si="109"/>
        <v>1.7852372507040856E-2</v>
      </c>
      <c r="EE11" s="172">
        <f t="shared" si="110"/>
        <v>2723164.3915175358</v>
      </c>
      <c r="EF11" s="252">
        <v>2767184.7905695178</v>
      </c>
      <c r="EG11" s="172">
        <f t="shared" si="111"/>
        <v>44020.399051981978</v>
      </c>
      <c r="EH11" s="173">
        <f t="shared" si="112"/>
        <v>1.5947938553857986E-2</v>
      </c>
      <c r="EI11" s="172">
        <f t="shared" si="113"/>
        <v>2767184.7905695178</v>
      </c>
      <c r="EJ11" s="252">
        <v>2760256.374409779</v>
      </c>
      <c r="EK11" s="172">
        <f t="shared" si="114"/>
        <v>-6928.4161597387865</v>
      </c>
      <c r="EL11" s="173">
        <f t="shared" si="115"/>
        <v>-2.5100625521498081E-3</v>
      </c>
      <c r="EM11" s="172">
        <f t="shared" si="116"/>
        <v>0</v>
      </c>
      <c r="EN11" s="173">
        <f t="shared" si="17"/>
        <v>0</v>
      </c>
      <c r="EO11" s="214"/>
      <c r="EP11" s="273">
        <v>1411420.6698067242</v>
      </c>
      <c r="EQ11" s="273">
        <v>1306953.4610722205</v>
      </c>
      <c r="ER11" s="172">
        <f t="shared" si="117"/>
        <v>-104467.20873450371</v>
      </c>
      <c r="ES11" s="173">
        <f t="shared" si="18"/>
        <v>-7.4015643223369509E-2</v>
      </c>
      <c r="ET11" s="273">
        <v>740902.72454761434</v>
      </c>
      <c r="EU11" s="273">
        <v>682313.78171648714</v>
      </c>
      <c r="EV11" s="172">
        <f t="shared" si="118"/>
        <v>-58588.942831127206</v>
      </c>
      <c r="EW11" s="173">
        <f t="shared" si="19"/>
        <v>-7.9077780240180459E-2</v>
      </c>
      <c r="EX11" s="273">
        <v>770149.64</v>
      </c>
      <c r="EY11" s="273">
        <v>710907.36</v>
      </c>
      <c r="EZ11" s="172">
        <f t="shared" si="119"/>
        <v>-59242.280000000028</v>
      </c>
      <c r="FA11" s="173">
        <f t="shared" si="20"/>
        <v>-7.6923076923076955E-2</v>
      </c>
      <c r="FB11" s="172">
        <f t="shared" si="120"/>
        <v>1306953.4610722205</v>
      </c>
      <c r="FC11" s="273">
        <v>1327379.286656471</v>
      </c>
      <c r="FD11" s="172">
        <f t="shared" si="121"/>
        <v>20425.825584250502</v>
      </c>
      <c r="FE11" s="173">
        <f t="shared" si="21"/>
        <v>1.5628579128971601E-2</v>
      </c>
      <c r="FF11" s="172">
        <f t="shared" si="122"/>
        <v>682313.78171648714</v>
      </c>
      <c r="FG11" s="273">
        <v>686690.02636493067</v>
      </c>
      <c r="FH11" s="172">
        <f t="shared" si="123"/>
        <v>4376.244648443535</v>
      </c>
      <c r="FI11" s="173">
        <f t="shared" si="22"/>
        <v>6.413830067207903E-3</v>
      </c>
      <c r="FJ11" s="172">
        <f t="shared" si="124"/>
        <v>1327379.286656471</v>
      </c>
      <c r="FK11" s="273">
        <v>1334207.375627615</v>
      </c>
      <c r="FL11" s="172">
        <f t="shared" si="125"/>
        <v>6828.0889711440541</v>
      </c>
      <c r="FM11" s="173">
        <f t="shared" si="23"/>
        <v>5.1440376083789078E-3</v>
      </c>
      <c r="FN11" s="172">
        <f t="shared" si="126"/>
        <v>686690.02636493067</v>
      </c>
      <c r="FO11" s="273">
        <v>688159.69144890143</v>
      </c>
      <c r="FP11" s="172">
        <f t="shared" si="127"/>
        <v>1469.6650839707581</v>
      </c>
      <c r="FQ11" s="173">
        <f t="shared" si="24"/>
        <v>2.1402161492727542E-3</v>
      </c>
      <c r="FR11" s="172">
        <f t="shared" si="128"/>
        <v>688159.69144890143</v>
      </c>
      <c r="FS11" s="273">
        <v>659405.06086126203</v>
      </c>
      <c r="FT11" s="172">
        <f t="shared" si="129"/>
        <v>-28754.630587639404</v>
      </c>
      <c r="FU11" s="173">
        <f t="shared" si="25"/>
        <v>-4.1784822541839545E-2</v>
      </c>
      <c r="FV11" s="172">
        <f t="shared" si="26"/>
        <v>710907.36</v>
      </c>
      <c r="FW11" s="273">
        <v>782923.2</v>
      </c>
      <c r="FX11" s="172">
        <f t="shared" si="130"/>
        <v>72015.839999999967</v>
      </c>
      <c r="FY11" s="173">
        <f t="shared" si="27"/>
        <v>0.1013013003550842</v>
      </c>
      <c r="FZ11" s="214"/>
      <c r="GA11" s="172">
        <f t="shared" si="28"/>
        <v>1411420.6698067242</v>
      </c>
      <c r="GB11" s="172">
        <f t="shared" si="29"/>
        <v>-104467.20873450371</v>
      </c>
      <c r="GC11" s="172">
        <f t="shared" si="30"/>
        <v>20425.825584250502</v>
      </c>
      <c r="GD11" s="172">
        <f t="shared" si="31"/>
        <v>6828.0889711440541</v>
      </c>
      <c r="GE11" s="172">
        <f t="shared" si="32"/>
        <v>-77213.294179109158</v>
      </c>
      <c r="GF11" s="172">
        <f t="shared" si="33"/>
        <v>1334207.375627615</v>
      </c>
      <c r="GG11" s="173">
        <f t="shared" si="34"/>
        <v>-5.4706081489994417E-2</v>
      </c>
      <c r="GH11" s="244"/>
      <c r="GI11" s="172">
        <f t="shared" si="35"/>
        <v>740902.72454761434</v>
      </c>
      <c r="GJ11" s="172">
        <f t="shared" si="36"/>
        <v>-58588.942831127206</v>
      </c>
      <c r="GK11" s="172">
        <f t="shared" si="37"/>
        <v>4376.244648443535</v>
      </c>
      <c r="GL11" s="172">
        <f t="shared" si="38"/>
        <v>1469.6650839707581</v>
      </c>
      <c r="GM11" s="172">
        <f t="shared" si="39"/>
        <v>-28754.630587639404</v>
      </c>
      <c r="GN11" s="172">
        <f t="shared" si="40"/>
        <v>-81497.663686352316</v>
      </c>
      <c r="GO11" s="172">
        <f t="shared" si="41"/>
        <v>659405.06086126203</v>
      </c>
      <c r="GP11" s="173">
        <f t="shared" si="42"/>
        <v>-0.10999779186412594</v>
      </c>
      <c r="GQ11" s="214"/>
      <c r="GR11" s="172">
        <f t="shared" si="43"/>
        <v>770149.64</v>
      </c>
      <c r="GS11" s="172">
        <f t="shared" si="44"/>
        <v>-59242.280000000028</v>
      </c>
      <c r="GT11" s="172">
        <f t="shared" si="45"/>
        <v>72015.839999999967</v>
      </c>
      <c r="GU11" s="172">
        <f t="shared" si="131"/>
        <v>12773.559999999939</v>
      </c>
      <c r="GV11" s="172">
        <f t="shared" si="132"/>
        <v>782923.2</v>
      </c>
      <c r="GW11" s="173">
        <f t="shared" si="133"/>
        <v>1.6585815712385373E-2</v>
      </c>
      <c r="GX11" s="214"/>
      <c r="GY11" s="273">
        <v>-162216.65994455991</v>
      </c>
      <c r="GZ11" s="172" t="e">
        <f t="shared" si="134"/>
        <v>#REF!</v>
      </c>
      <c r="HA11" s="172" t="e">
        <f>-VLOOKUP($B11,#REF!,23,FALSE)</f>
        <v>#REF!</v>
      </c>
    </row>
    <row r="12" spans="1:209" ht="15" customHeight="1" x14ac:dyDescent="0.45">
      <c r="A12" s="148">
        <v>1</v>
      </c>
      <c r="B12" s="215" t="s">
        <v>7</v>
      </c>
      <c r="C12" s="172">
        <v>1368302.3218059212</v>
      </c>
      <c r="D12" s="173">
        <f t="shared" si="0"/>
        <v>9.4988806197328834E-4</v>
      </c>
      <c r="E12" s="1"/>
      <c r="F12" s="252">
        <v>1842151.4426950139</v>
      </c>
      <c r="G12" s="173">
        <f t="shared" si="1"/>
        <v>7.8385403573127889E-4</v>
      </c>
      <c r="H12" s="173">
        <f t="shared" si="46"/>
        <v>0.82520674499572932</v>
      </c>
      <c r="I12" s="172" t="e">
        <f>VLOOKUP($B12,#REF!,24,FALSE)</f>
        <v>#REF!</v>
      </c>
      <c r="J12" s="173" t="e">
        <f t="shared" si="2"/>
        <v>#REF!</v>
      </c>
      <c r="K12" s="173" t="e">
        <f t="shared" si="47"/>
        <v>#REF!</v>
      </c>
      <c r="L12" s="172" t="e">
        <f t="shared" si="48"/>
        <v>#REF!</v>
      </c>
      <c r="M12" s="173" t="e">
        <f t="shared" si="49"/>
        <v>#REF!</v>
      </c>
      <c r="N12" s="173" t="e">
        <f t="shared" si="50"/>
        <v>#REF!</v>
      </c>
      <c r="O12" s="176"/>
      <c r="P12" s="253">
        <v>17</v>
      </c>
      <c r="Q12" s="173">
        <f t="shared" si="3"/>
        <v>9.4560017799532757E-4</v>
      </c>
      <c r="R12" s="172" t="e">
        <f>VLOOKUP($B12,#REF!,4,FALSE)</f>
        <v>#REF!</v>
      </c>
      <c r="S12" s="173" t="e">
        <f t="shared" si="4"/>
        <v>#REF!</v>
      </c>
      <c r="T12" s="172" t="e">
        <f t="shared" si="51"/>
        <v>#REF!</v>
      </c>
      <c r="U12" s="173" t="e">
        <f t="shared" si="52"/>
        <v>#REF!</v>
      </c>
      <c r="V12" s="173" t="e">
        <f t="shared" si="53"/>
        <v>#REF!</v>
      </c>
      <c r="W12" s="1"/>
      <c r="X12" s="189">
        <f>VLOOKUP($B12,'Average RAS salary'!$A$5:$D$62,4,FALSE)</f>
        <v>44412.081428571437</v>
      </c>
      <c r="Y12" s="253">
        <v>42192.172594791395</v>
      </c>
      <c r="Z12" s="252" t="s">
        <v>273</v>
      </c>
      <c r="AA12" s="252" t="s">
        <v>273</v>
      </c>
      <c r="AB12" s="173">
        <f t="shared" si="5"/>
        <v>0.72326275675085039</v>
      </c>
      <c r="AC12" s="172" t="e">
        <f>VLOOKUP($B12,#REF!,3,FALSE)</f>
        <v>#REF!</v>
      </c>
      <c r="AD12" s="172" t="e">
        <f>VLOOKUP($B12,#REF!,5,FALSE)</f>
        <v>#REF!</v>
      </c>
      <c r="AE12" s="172" t="e">
        <f>VLOOKUP($B12,#REF!,6,FALSE)</f>
        <v>#REF!</v>
      </c>
      <c r="AF12" s="173" t="e">
        <f t="shared" si="6"/>
        <v>#REF!</v>
      </c>
      <c r="AG12" s="172" t="e">
        <f t="shared" si="54"/>
        <v>#REF!</v>
      </c>
      <c r="AH12" s="173" t="e">
        <f t="shared" si="7"/>
        <v>#REF!</v>
      </c>
      <c r="AI12" s="173" t="e">
        <f t="shared" si="8"/>
        <v>#REF!</v>
      </c>
      <c r="AJ12" s="189">
        <v>44139.477443609023</v>
      </c>
      <c r="AK12" s="189">
        <f>VLOOKUP($B12,'Average RAS salary'!$A$5:$D$62,4,FALSE)</f>
        <v>44412.081428571437</v>
      </c>
      <c r="AL12" s="189">
        <f t="shared" si="55"/>
        <v>272.60398496241396</v>
      </c>
      <c r="AM12" s="173">
        <f t="shared" si="56"/>
        <v>6.1759676541409628E-3</v>
      </c>
      <c r="AN12" s="189" t="e">
        <f t="shared" si="57"/>
        <v>#REF!</v>
      </c>
      <c r="AO12" s="189" t="e">
        <f t="shared" si="58"/>
        <v>#REF!</v>
      </c>
      <c r="AP12" s="189" t="e">
        <f t="shared" si="59"/>
        <v>#REF!</v>
      </c>
      <c r="AQ12" s="189" t="e">
        <f t="shared" si="135"/>
        <v>#REF!</v>
      </c>
      <c r="AR12" s="189" t="e">
        <f t="shared" si="60"/>
        <v>#REF!</v>
      </c>
      <c r="AS12" s="189" t="e">
        <f t="shared" si="9"/>
        <v>#REF!</v>
      </c>
      <c r="AT12" s="213" t="e">
        <f t="shared" si="61"/>
        <v>#REF!</v>
      </c>
      <c r="AU12" s="173" t="e">
        <f t="shared" si="62"/>
        <v>#REF!</v>
      </c>
      <c r="AV12" s="189"/>
      <c r="AW12" s="189">
        <f>VLOOKUP($B12,'Average RAS salary'!$A$5:$D$62,4,FALSE)</f>
        <v>44412.081428571437</v>
      </c>
      <c r="AX12" s="189" t="e">
        <f t="shared" si="10"/>
        <v>#REF!</v>
      </c>
      <c r="AY12" s="189">
        <v>39865.262959708809</v>
      </c>
      <c r="AZ12" s="189" t="e">
        <f t="shared" si="11"/>
        <v>#REF!</v>
      </c>
      <c r="BA12" s="189" t="e">
        <f t="shared" si="63"/>
        <v>#REF!</v>
      </c>
      <c r="BB12" s="189" t="e">
        <f t="shared" si="64"/>
        <v>#REF!</v>
      </c>
      <c r="BC12" s="189" t="e">
        <f t="shared" si="65"/>
        <v>#REF!</v>
      </c>
      <c r="BD12" s="213">
        <f t="shared" si="66"/>
        <v>-4546.8184688626279</v>
      </c>
      <c r="BE12" s="173">
        <f t="shared" si="67"/>
        <v>-0.10237796389199499</v>
      </c>
      <c r="BF12" s="189"/>
      <c r="BG12" s="189">
        <f>VLOOKUP($B12,'Average RAS salary'!$A$5:$D$62,4,FALSE)</f>
        <v>44412.081428571437</v>
      </c>
      <c r="BH12" s="189" t="e">
        <f t="shared" si="68"/>
        <v>#REF!</v>
      </c>
      <c r="BI12" s="189" t="e">
        <f>$BG$65*#REF!</f>
        <v>#REF!</v>
      </c>
      <c r="BJ12" s="189" t="e">
        <f t="shared" si="69"/>
        <v>#REF!</v>
      </c>
      <c r="BK12" s="189" t="e">
        <f t="shared" si="12"/>
        <v>#REF!</v>
      </c>
      <c r="BL12" s="189" t="e">
        <f t="shared" si="13"/>
        <v>#REF!</v>
      </c>
      <c r="BM12" s="189" t="e">
        <f t="shared" si="70"/>
        <v>#REF!</v>
      </c>
      <c r="BN12" s="213" t="e">
        <f t="shared" si="71"/>
        <v>#REF!</v>
      </c>
      <c r="BO12" s="173" t="e">
        <f t="shared" si="72"/>
        <v>#REF!</v>
      </c>
      <c r="BP12" s="189"/>
      <c r="BQ12" s="189">
        <f>VLOOKUP($B12,'Average RAS salary'!$A$5:$D$62,4,FALSE)</f>
        <v>44412.081428571437</v>
      </c>
      <c r="BR12" s="189" t="e">
        <f t="shared" si="73"/>
        <v>#REF!</v>
      </c>
      <c r="BS12" s="189" t="e">
        <f>VLOOKUP($B12,#REF!,19,FALSE)*$BQ$65</f>
        <v>#REF!</v>
      </c>
      <c r="BT12" s="189" t="e">
        <f t="shared" si="74"/>
        <v>#REF!</v>
      </c>
      <c r="BU12" s="189" t="e">
        <f t="shared" si="75"/>
        <v>#REF!</v>
      </c>
      <c r="BV12" s="189" t="e">
        <f t="shared" si="76"/>
        <v>#REF!</v>
      </c>
      <c r="BW12" s="189" t="e">
        <f t="shared" si="77"/>
        <v>#REF!</v>
      </c>
      <c r="BX12" s="213" t="e">
        <f t="shared" si="78"/>
        <v>#REF!</v>
      </c>
      <c r="BY12" s="173" t="e">
        <f t="shared" si="79"/>
        <v>#REF!</v>
      </c>
      <c r="BZ12" s="189"/>
      <c r="CA12" s="189">
        <f>VLOOKUP($B12,'Average RAS salary'!$A$5:$D$62,4,FALSE)</f>
        <v>44412.081428571437</v>
      </c>
      <c r="CB12" s="189" t="e">
        <f t="shared" si="80"/>
        <v>#REF!</v>
      </c>
      <c r="CC12" s="189" t="e">
        <f>IF(VLOOKUP($B12,#REF!,7,FALSE)&gt;VLOOKUP($B12,#REF!,19,FALSE)*$CA$65,VLOOKUP($B12,#REF!,19,FALSE)*$CA$65,VLOOKUP($B12,#REF!,7,FALSE))</f>
        <v>#REF!</v>
      </c>
      <c r="CD12" s="189" t="e">
        <f t="shared" si="81"/>
        <v>#REF!</v>
      </c>
      <c r="CE12" s="189" t="e">
        <f t="shared" si="82"/>
        <v>#REF!</v>
      </c>
      <c r="CF12" s="189" t="e">
        <f t="shared" si="83"/>
        <v>#REF!</v>
      </c>
      <c r="CG12" s="189" t="e">
        <f t="shared" si="84"/>
        <v>#REF!</v>
      </c>
      <c r="CH12" s="213" t="e">
        <f t="shared" si="85"/>
        <v>#REF!</v>
      </c>
      <c r="CI12" s="173" t="e">
        <f t="shared" si="86"/>
        <v>#REF!</v>
      </c>
      <c r="CJ12" s="189"/>
      <c r="CK12" s="189">
        <f>VLOOKUP($B12,'Average RAS salary'!$A$5:$D$62,4,FALSE)</f>
        <v>44412.081428571437</v>
      </c>
      <c r="CL12" s="189" t="e">
        <f t="shared" si="87"/>
        <v>#REF!</v>
      </c>
      <c r="CM12" s="189" t="e">
        <f>IF($AY12&gt;VLOOKUP($B12,#REF!,19,FALSE)*$CK$65,VLOOKUP($B12,#REF!,19,FALSE)*$CK$65,$AY12)</f>
        <v>#REF!</v>
      </c>
      <c r="CN12" s="189" t="e">
        <f t="shared" si="88"/>
        <v>#REF!</v>
      </c>
      <c r="CO12" s="189" t="e">
        <f t="shared" si="89"/>
        <v>#REF!</v>
      </c>
      <c r="CP12" s="189" t="e">
        <f t="shared" si="90"/>
        <v>#REF!</v>
      </c>
      <c r="CQ12" s="189" t="e">
        <f t="shared" si="91"/>
        <v>#REF!</v>
      </c>
      <c r="CR12" s="213" t="e">
        <f t="shared" si="92"/>
        <v>#REF!</v>
      </c>
      <c r="CS12" s="173" t="e">
        <f t="shared" si="93"/>
        <v>#REF!</v>
      </c>
      <c r="CT12" s="1"/>
      <c r="CU12" s="254">
        <v>0.38806765872236837</v>
      </c>
      <c r="CV12" s="252">
        <v>15976.480349344974</v>
      </c>
      <c r="CW12" s="254">
        <v>0.39558999789325527</v>
      </c>
      <c r="CX12" s="255">
        <v>16706</v>
      </c>
      <c r="CY12" s="190" t="e">
        <f>VLOOKUP($B12,#REF!,13,FALSE)</f>
        <v>#REF!</v>
      </c>
      <c r="CZ12" s="172" t="e">
        <f>VLOOKUP($B12,#REF!,14,FALSE)</f>
        <v>#REF!</v>
      </c>
      <c r="DA12" s="190" t="e">
        <f>VLOOKUP($B12,#REF!,15,FALSE)</f>
        <v>#REF!</v>
      </c>
      <c r="DB12" s="189" t="e">
        <f>VLOOKUP($B12,#REF!,16,FALSE)</f>
        <v>#REF!</v>
      </c>
      <c r="DC12" s="190" t="e">
        <f t="shared" si="94"/>
        <v>#REF!</v>
      </c>
      <c r="DD12" s="190" t="e">
        <f t="shared" si="95"/>
        <v>#REF!</v>
      </c>
      <c r="DE12" s="190" t="e">
        <f t="shared" si="96"/>
        <v>#REF!</v>
      </c>
      <c r="DF12" s="190" t="e">
        <f t="shared" si="97"/>
        <v>#REF!</v>
      </c>
      <c r="DG12" s="1"/>
      <c r="DH12" s="253" t="s">
        <v>273</v>
      </c>
      <c r="DI12" s="253">
        <v>127446.6327817149</v>
      </c>
      <c r="DJ12" s="173">
        <f t="shared" si="98"/>
        <v>0.25207908729370732</v>
      </c>
      <c r="DK12" s="172" t="e">
        <f>IF(VLOOKUP($B12,#REF!,6,FALSE)="Y","Yes","")</f>
        <v>#REF!</v>
      </c>
      <c r="DL12" s="172" t="e">
        <f>VLOOKUP($B12,#REF!,4,FALSE)</f>
        <v>#REF!</v>
      </c>
      <c r="DM12" s="173" t="e">
        <f t="shared" si="15"/>
        <v>#REF!</v>
      </c>
      <c r="DN12" s="1"/>
      <c r="DO12" s="172">
        <f t="shared" si="99"/>
        <v>1842151.4426950139</v>
      </c>
      <c r="DP12" s="252">
        <v>1775607.6328039118</v>
      </c>
      <c r="DQ12" s="172">
        <f t="shared" si="100"/>
        <v>-66543.809891102137</v>
      </c>
      <c r="DR12" s="173">
        <f t="shared" si="16"/>
        <v>-3.6122876951826761E-2</v>
      </c>
      <c r="DS12" s="172">
        <f t="shared" si="101"/>
        <v>1775607.6328039118</v>
      </c>
      <c r="DT12" s="252">
        <v>1804735.1591015435</v>
      </c>
      <c r="DU12" s="172">
        <f t="shared" si="102"/>
        <v>29127.526297631674</v>
      </c>
      <c r="DV12" s="173">
        <f t="shared" si="103"/>
        <v>1.5811689322903305E-2</v>
      </c>
      <c r="DW12" s="172">
        <f t="shared" si="104"/>
        <v>1804735.1591015435</v>
      </c>
      <c r="DX12" s="252">
        <v>1816482.0544372452</v>
      </c>
      <c r="DY12" s="172">
        <f t="shared" si="105"/>
        <v>11746.89533570176</v>
      </c>
      <c r="DZ12" s="173">
        <f t="shared" si="106"/>
        <v>6.3767261819236715E-3</v>
      </c>
      <c r="EA12" s="172">
        <f t="shared" si="107"/>
        <v>1816482.0544372452</v>
      </c>
      <c r="EB12" s="252">
        <v>1814498.2944841026</v>
      </c>
      <c r="EC12" s="172">
        <f t="shared" si="108"/>
        <v>-1983.7599531426094</v>
      </c>
      <c r="ED12" s="173">
        <f t="shared" si="109"/>
        <v>-1.0768712643084472E-3</v>
      </c>
      <c r="EE12" s="172">
        <f t="shared" si="110"/>
        <v>1814498.2944841026</v>
      </c>
      <c r="EF12" s="252">
        <v>1843280.8630950139</v>
      </c>
      <c r="EG12" s="172">
        <f t="shared" si="111"/>
        <v>28782.568610911258</v>
      </c>
      <c r="EH12" s="173">
        <f t="shared" si="112"/>
        <v>1.5624431273035401E-2</v>
      </c>
      <c r="EI12" s="172">
        <f t="shared" si="113"/>
        <v>1843280.8630950139</v>
      </c>
      <c r="EJ12" s="252">
        <v>1842151.4426950139</v>
      </c>
      <c r="EK12" s="172">
        <f t="shared" si="114"/>
        <v>-1129.4203999999445</v>
      </c>
      <c r="EL12" s="173">
        <f t="shared" si="115"/>
        <v>-6.1309856172717017E-4</v>
      </c>
      <c r="EM12" s="172">
        <f t="shared" si="116"/>
        <v>0</v>
      </c>
      <c r="EN12" s="173">
        <f t="shared" si="17"/>
        <v>0</v>
      </c>
      <c r="EO12" s="214"/>
      <c r="EP12" s="273">
        <v>815763.08920112194</v>
      </c>
      <c r="EQ12" s="273">
        <v>815763.08920112194</v>
      </c>
      <c r="ER12" s="172">
        <f t="shared" si="117"/>
        <v>0</v>
      </c>
      <c r="ES12" s="173">
        <f t="shared" si="18"/>
        <v>0</v>
      </c>
      <c r="ET12" s="273">
        <v>591688.39389389195</v>
      </c>
      <c r="EU12" s="273">
        <v>591688.39389389195</v>
      </c>
      <c r="EV12" s="172">
        <f t="shared" si="118"/>
        <v>0</v>
      </c>
      <c r="EW12" s="173">
        <f t="shared" si="19"/>
        <v>0</v>
      </c>
      <c r="EX12" s="273">
        <v>503559.38</v>
      </c>
      <c r="EY12" s="273">
        <v>503559.38</v>
      </c>
      <c r="EZ12" s="172">
        <f t="shared" si="119"/>
        <v>0</v>
      </c>
      <c r="FA12" s="173">
        <f t="shared" si="20"/>
        <v>0</v>
      </c>
      <c r="FB12" s="172">
        <f t="shared" si="120"/>
        <v>815763.08920112194</v>
      </c>
      <c r="FC12" s="273">
        <v>827500.27050659445</v>
      </c>
      <c r="FD12" s="172">
        <f t="shared" si="121"/>
        <v>11737.181305472506</v>
      </c>
      <c r="FE12" s="173">
        <f t="shared" si="21"/>
        <v>1.4387977907858942E-2</v>
      </c>
      <c r="FF12" s="172">
        <f t="shared" si="122"/>
        <v>591688.39389389195</v>
      </c>
      <c r="FG12" s="273">
        <v>596236.08273427642</v>
      </c>
      <c r="FH12" s="172">
        <f t="shared" si="123"/>
        <v>4547.6888403844787</v>
      </c>
      <c r="FI12" s="173">
        <f t="shared" si="22"/>
        <v>7.6859524156899723E-3</v>
      </c>
      <c r="FJ12" s="172">
        <f t="shared" si="124"/>
        <v>827500.27050659445</v>
      </c>
      <c r="FK12" s="273">
        <v>959397.41671486269</v>
      </c>
      <c r="FL12" s="172">
        <f t="shared" si="125"/>
        <v>131897.14620826824</v>
      </c>
      <c r="FM12" s="173">
        <f t="shared" si="23"/>
        <v>0.15939226959710961</v>
      </c>
      <c r="FN12" s="172">
        <f t="shared" si="126"/>
        <v>596236.08273427642</v>
      </c>
      <c r="FO12" s="273">
        <v>647677.85167672089</v>
      </c>
      <c r="FP12" s="172">
        <f t="shared" si="127"/>
        <v>51441.768942444469</v>
      </c>
      <c r="FQ12" s="173">
        <f t="shared" si="24"/>
        <v>8.6277517299083756E-2</v>
      </c>
      <c r="FR12" s="172">
        <f t="shared" si="128"/>
        <v>647677.85167672089</v>
      </c>
      <c r="FS12" s="273">
        <v>697766.37001111591</v>
      </c>
      <c r="FT12" s="172">
        <f t="shared" si="129"/>
        <v>50088.518334395019</v>
      </c>
      <c r="FU12" s="173">
        <f t="shared" si="25"/>
        <v>7.7335542978233543E-2</v>
      </c>
      <c r="FV12" s="172">
        <f t="shared" si="26"/>
        <v>503559.38</v>
      </c>
      <c r="FW12" s="273">
        <v>554570.6</v>
      </c>
      <c r="FX12" s="172">
        <f t="shared" si="130"/>
        <v>51011.219999999972</v>
      </c>
      <c r="FY12" s="173">
        <f t="shared" si="27"/>
        <v>0.10130130035508418</v>
      </c>
      <c r="FZ12" s="214"/>
      <c r="GA12" s="172">
        <f t="shared" si="28"/>
        <v>815763.08920112194</v>
      </c>
      <c r="GB12" s="172">
        <f t="shared" si="29"/>
        <v>0</v>
      </c>
      <c r="GC12" s="172">
        <f t="shared" si="30"/>
        <v>11737.181305472506</v>
      </c>
      <c r="GD12" s="172">
        <f t="shared" si="31"/>
        <v>131897.14620826824</v>
      </c>
      <c r="GE12" s="172">
        <f t="shared" si="32"/>
        <v>143634.32751374075</v>
      </c>
      <c r="GF12" s="172">
        <f t="shared" si="33"/>
        <v>959397.41671486269</v>
      </c>
      <c r="GG12" s="173">
        <f t="shared" si="34"/>
        <v>0.17607357995861528</v>
      </c>
      <c r="GH12" s="244"/>
      <c r="GI12" s="172">
        <f t="shared" si="35"/>
        <v>591688.39389389195</v>
      </c>
      <c r="GJ12" s="172">
        <f t="shared" si="36"/>
        <v>0</v>
      </c>
      <c r="GK12" s="172">
        <f t="shared" si="37"/>
        <v>4547.6888403844787</v>
      </c>
      <c r="GL12" s="172">
        <f t="shared" si="38"/>
        <v>51441.768942444469</v>
      </c>
      <c r="GM12" s="172">
        <f t="shared" si="39"/>
        <v>50088.518334395019</v>
      </c>
      <c r="GN12" s="172">
        <f t="shared" si="40"/>
        <v>106077.97611722397</v>
      </c>
      <c r="GO12" s="172">
        <f t="shared" si="41"/>
        <v>697766.37001111591</v>
      </c>
      <c r="GP12" s="173">
        <f t="shared" si="42"/>
        <v>0.17928013665964695</v>
      </c>
      <c r="GQ12" s="214"/>
      <c r="GR12" s="172">
        <f t="shared" si="43"/>
        <v>503559.38</v>
      </c>
      <c r="GS12" s="172">
        <f t="shared" si="44"/>
        <v>0</v>
      </c>
      <c r="GT12" s="172">
        <f t="shared" si="45"/>
        <v>51011.219999999972</v>
      </c>
      <c r="GU12" s="172">
        <f t="shared" si="131"/>
        <v>51011.219999999972</v>
      </c>
      <c r="GV12" s="172">
        <f t="shared" si="132"/>
        <v>554570.6</v>
      </c>
      <c r="GW12" s="173">
        <f t="shared" si="133"/>
        <v>0.10130130035508418</v>
      </c>
      <c r="GX12" s="214"/>
      <c r="GY12" s="273">
        <v>-68859.420399999974</v>
      </c>
      <c r="GZ12" s="172" t="e">
        <f t="shared" si="134"/>
        <v>#REF!</v>
      </c>
      <c r="HA12" s="172" t="e">
        <f>-VLOOKUP($B12,#REF!,23,FALSE)</f>
        <v>#REF!</v>
      </c>
    </row>
    <row r="13" spans="1:209" ht="15" customHeight="1" x14ac:dyDescent="0.45">
      <c r="A13" s="148">
        <v>3</v>
      </c>
      <c r="B13" s="212" t="s">
        <v>41</v>
      </c>
      <c r="C13" s="172">
        <v>32906459.851790708</v>
      </c>
      <c r="D13" s="173">
        <f t="shared" si="0"/>
        <v>2.2843967211694044E-2</v>
      </c>
      <c r="E13" s="1"/>
      <c r="F13" s="252">
        <v>51243320.468307287</v>
      </c>
      <c r="G13" s="173">
        <f t="shared" si="1"/>
        <v>2.1804550170202264E-2</v>
      </c>
      <c r="H13" s="173">
        <f t="shared" si="46"/>
        <v>0.95449927624831765</v>
      </c>
      <c r="I13" s="172" t="e">
        <f>VLOOKUP($B13,#REF!,24,FALSE)</f>
        <v>#REF!</v>
      </c>
      <c r="J13" s="173" t="e">
        <f t="shared" si="2"/>
        <v>#REF!</v>
      </c>
      <c r="K13" s="173" t="e">
        <f t="shared" si="47"/>
        <v>#REF!</v>
      </c>
      <c r="L13" s="172" t="e">
        <f t="shared" si="48"/>
        <v>#REF!</v>
      </c>
      <c r="M13" s="173" t="e">
        <f t="shared" si="49"/>
        <v>#REF!</v>
      </c>
      <c r="N13" s="173" t="e">
        <f t="shared" si="50"/>
        <v>#REF!</v>
      </c>
      <c r="O13" s="176"/>
      <c r="P13" s="253">
        <v>373</v>
      </c>
      <c r="Q13" s="173">
        <f t="shared" si="3"/>
        <v>2.074758037601513E-2</v>
      </c>
      <c r="R13" s="172" t="e">
        <f>VLOOKUP($B13,#REF!,4,FALSE)</f>
        <v>#REF!</v>
      </c>
      <c r="S13" s="173" t="e">
        <f t="shared" si="4"/>
        <v>#REF!</v>
      </c>
      <c r="T13" s="172" t="e">
        <f t="shared" si="51"/>
        <v>#REF!</v>
      </c>
      <c r="U13" s="173" t="e">
        <f t="shared" si="52"/>
        <v>#REF!</v>
      </c>
      <c r="V13" s="173" t="e">
        <f t="shared" si="53"/>
        <v>#REF!</v>
      </c>
      <c r="W13" s="1"/>
      <c r="X13" s="189">
        <f>VLOOKUP($B13,'Average RAS salary'!$A$5:$D$62,4,FALSE)</f>
        <v>72019.117764270195</v>
      </c>
      <c r="Y13" s="253">
        <v>72955.624868394647</v>
      </c>
      <c r="Z13" s="252" t="s">
        <v>272</v>
      </c>
      <c r="AA13" s="252" t="s">
        <v>272</v>
      </c>
      <c r="AB13" s="173">
        <f t="shared" si="5"/>
        <v>1.2506131615822496</v>
      </c>
      <c r="AC13" s="172" t="e">
        <f>VLOOKUP($B13,#REF!,3,FALSE)</f>
        <v>#REF!</v>
      </c>
      <c r="AD13" s="172" t="e">
        <f>VLOOKUP($B13,#REF!,5,FALSE)</f>
        <v>#REF!</v>
      </c>
      <c r="AE13" s="172" t="e">
        <f>VLOOKUP($B13,#REF!,6,FALSE)</f>
        <v>#REF!</v>
      </c>
      <c r="AF13" s="173" t="e">
        <f t="shared" si="6"/>
        <v>#REF!</v>
      </c>
      <c r="AG13" s="172" t="e">
        <f t="shared" si="54"/>
        <v>#REF!</v>
      </c>
      <c r="AH13" s="173" t="e">
        <f t="shared" si="7"/>
        <v>#REF!</v>
      </c>
      <c r="AI13" s="173" t="e">
        <f t="shared" si="8"/>
        <v>#REF!</v>
      </c>
      <c r="AJ13" s="189">
        <v>69618.656839538555</v>
      </c>
      <c r="AK13" s="189">
        <f>VLOOKUP($B13,'Average RAS salary'!$A$5:$D$62,4,FALSE)</f>
        <v>72019.117764270195</v>
      </c>
      <c r="AL13" s="189">
        <f t="shared" si="55"/>
        <v>2400.4609247316403</v>
      </c>
      <c r="AM13" s="173">
        <f t="shared" si="56"/>
        <v>3.4480138424163698E-2</v>
      </c>
      <c r="AN13" s="189" t="e">
        <f t="shared" si="57"/>
        <v>#REF!</v>
      </c>
      <c r="AO13" s="189" t="e">
        <f t="shared" si="58"/>
        <v>#REF!</v>
      </c>
      <c r="AP13" s="189" t="e">
        <f t="shared" si="59"/>
        <v>#REF!</v>
      </c>
      <c r="AQ13" s="189" t="e">
        <f t="shared" si="135"/>
        <v>#REF!</v>
      </c>
      <c r="AR13" s="189" t="e">
        <f t="shared" si="60"/>
        <v>#REF!</v>
      </c>
      <c r="AS13" s="189" t="e">
        <f t="shared" si="9"/>
        <v>#REF!</v>
      </c>
      <c r="AT13" s="213" t="e">
        <f t="shared" si="61"/>
        <v>#REF!</v>
      </c>
      <c r="AU13" s="173" t="e">
        <f t="shared" si="62"/>
        <v>#REF!</v>
      </c>
      <c r="AV13" s="189"/>
      <c r="AW13" s="189">
        <f>VLOOKUP($B13,'Average RAS salary'!$A$5:$D$62,4,FALSE)</f>
        <v>72019.117764270195</v>
      </c>
      <c r="AX13" s="189" t="e">
        <f t="shared" si="10"/>
        <v>#REF!</v>
      </c>
      <c r="AY13" s="189">
        <v>64741.199879902546</v>
      </c>
      <c r="AZ13" s="189" t="e">
        <f t="shared" si="11"/>
        <v>#REF!</v>
      </c>
      <c r="BA13" s="189" t="e">
        <f t="shared" si="63"/>
        <v>#REF!</v>
      </c>
      <c r="BB13" s="189" t="e">
        <f t="shared" si="64"/>
        <v>#REF!</v>
      </c>
      <c r="BC13" s="189" t="e">
        <f t="shared" si="65"/>
        <v>#REF!</v>
      </c>
      <c r="BD13" s="213">
        <f t="shared" si="66"/>
        <v>-7277.9178843676491</v>
      </c>
      <c r="BE13" s="173">
        <f t="shared" si="67"/>
        <v>-0.10105536016408045</v>
      </c>
      <c r="BF13" s="189"/>
      <c r="BG13" s="189">
        <f>VLOOKUP($B13,'Average RAS salary'!$A$5:$D$62,4,FALSE)</f>
        <v>72019.117764270195</v>
      </c>
      <c r="BH13" s="189" t="e">
        <f t="shared" si="68"/>
        <v>#REF!</v>
      </c>
      <c r="BI13" s="189" t="e">
        <f>$BG$65*#REF!</f>
        <v>#REF!</v>
      </c>
      <c r="BJ13" s="189" t="e">
        <f t="shared" si="69"/>
        <v>#REF!</v>
      </c>
      <c r="BK13" s="189" t="e">
        <f t="shared" si="12"/>
        <v>#REF!</v>
      </c>
      <c r="BL13" s="189" t="e">
        <f t="shared" si="13"/>
        <v>#REF!</v>
      </c>
      <c r="BM13" s="189" t="e">
        <f t="shared" si="70"/>
        <v>#REF!</v>
      </c>
      <c r="BN13" s="213" t="e">
        <f t="shared" si="71"/>
        <v>#REF!</v>
      </c>
      <c r="BO13" s="173" t="e">
        <f t="shared" si="72"/>
        <v>#REF!</v>
      </c>
      <c r="BP13" s="189"/>
      <c r="BQ13" s="189">
        <f>VLOOKUP($B13,'Average RAS salary'!$A$5:$D$62,4,FALSE)</f>
        <v>72019.117764270195</v>
      </c>
      <c r="BR13" s="189" t="e">
        <f t="shared" si="73"/>
        <v>#REF!</v>
      </c>
      <c r="BS13" s="189" t="e">
        <f>VLOOKUP($B13,#REF!,19,FALSE)*$BQ$65</f>
        <v>#REF!</v>
      </c>
      <c r="BT13" s="189" t="e">
        <f t="shared" si="74"/>
        <v>#REF!</v>
      </c>
      <c r="BU13" s="189" t="e">
        <f t="shared" si="75"/>
        <v>#REF!</v>
      </c>
      <c r="BV13" s="189" t="e">
        <f t="shared" si="76"/>
        <v>#REF!</v>
      </c>
      <c r="BW13" s="189" t="e">
        <f t="shared" si="77"/>
        <v>#REF!</v>
      </c>
      <c r="BX13" s="213" t="e">
        <f t="shared" si="78"/>
        <v>#REF!</v>
      </c>
      <c r="BY13" s="173" t="e">
        <f t="shared" si="79"/>
        <v>#REF!</v>
      </c>
      <c r="BZ13" s="189"/>
      <c r="CA13" s="189">
        <f>VLOOKUP($B13,'Average RAS salary'!$A$5:$D$62,4,FALSE)</f>
        <v>72019.117764270195</v>
      </c>
      <c r="CB13" s="189" t="e">
        <f t="shared" si="80"/>
        <v>#REF!</v>
      </c>
      <c r="CC13" s="189" t="e">
        <f>IF(VLOOKUP($B13,#REF!,7,FALSE)&gt;VLOOKUP($B13,#REF!,19,FALSE)*$CA$65,VLOOKUP($B13,#REF!,19,FALSE)*$CA$65,VLOOKUP($B13,#REF!,7,FALSE))</f>
        <v>#REF!</v>
      </c>
      <c r="CD13" s="189" t="e">
        <f t="shared" si="81"/>
        <v>#REF!</v>
      </c>
      <c r="CE13" s="189" t="e">
        <f t="shared" si="82"/>
        <v>#REF!</v>
      </c>
      <c r="CF13" s="189" t="e">
        <f t="shared" si="83"/>
        <v>#REF!</v>
      </c>
      <c r="CG13" s="189" t="e">
        <f t="shared" si="84"/>
        <v>#REF!</v>
      </c>
      <c r="CH13" s="213" t="e">
        <f t="shared" si="85"/>
        <v>#REF!</v>
      </c>
      <c r="CI13" s="173" t="e">
        <f t="shared" si="86"/>
        <v>#REF!</v>
      </c>
      <c r="CJ13" s="189"/>
      <c r="CK13" s="189">
        <f>VLOOKUP($B13,'Average RAS salary'!$A$5:$D$62,4,FALSE)</f>
        <v>72019.117764270195</v>
      </c>
      <c r="CL13" s="189" t="e">
        <f t="shared" si="87"/>
        <v>#REF!</v>
      </c>
      <c r="CM13" s="189" t="e">
        <f>IF($AY13&gt;VLOOKUP($B13,#REF!,19,FALSE)*$CK$65,VLOOKUP($B13,#REF!,19,FALSE)*$CK$65,$AY13)</f>
        <v>#REF!</v>
      </c>
      <c r="CN13" s="189" t="e">
        <f t="shared" si="88"/>
        <v>#REF!</v>
      </c>
      <c r="CO13" s="189" t="e">
        <f t="shared" si="89"/>
        <v>#REF!</v>
      </c>
      <c r="CP13" s="189" t="e">
        <f t="shared" si="90"/>
        <v>#REF!</v>
      </c>
      <c r="CQ13" s="189" t="e">
        <f t="shared" si="91"/>
        <v>#REF!</v>
      </c>
      <c r="CR13" s="213" t="e">
        <f t="shared" si="92"/>
        <v>#REF!</v>
      </c>
      <c r="CS13" s="173" t="e">
        <f t="shared" si="93"/>
        <v>#REF!</v>
      </c>
      <c r="CT13" s="1"/>
      <c r="CU13" s="254">
        <v>0.42060962344467073</v>
      </c>
      <c r="CV13" s="252">
        <v>15192.582030990561</v>
      </c>
      <c r="CW13" s="254">
        <v>0.42084261181072213</v>
      </c>
      <c r="CX13" s="255">
        <v>16690.159393939393</v>
      </c>
      <c r="CY13" s="190" t="e">
        <f>VLOOKUP($B13,#REF!,13,FALSE)</f>
        <v>#REF!</v>
      </c>
      <c r="CZ13" s="172" t="e">
        <f>VLOOKUP($B13,#REF!,14,FALSE)</f>
        <v>#REF!</v>
      </c>
      <c r="DA13" s="190" t="e">
        <f>VLOOKUP($B13,#REF!,15,FALSE)</f>
        <v>#REF!</v>
      </c>
      <c r="DB13" s="189" t="e">
        <f>VLOOKUP($B13,#REF!,16,FALSE)</f>
        <v>#REF!</v>
      </c>
      <c r="DC13" s="190" t="e">
        <f t="shared" si="94"/>
        <v>#REF!</v>
      </c>
      <c r="DD13" s="190" t="e">
        <f t="shared" si="95"/>
        <v>#REF!</v>
      </c>
      <c r="DE13" s="190" t="e">
        <f t="shared" si="96"/>
        <v>#REF!</v>
      </c>
      <c r="DF13" s="190" t="e">
        <f t="shared" si="97"/>
        <v>#REF!</v>
      </c>
      <c r="DG13" s="1"/>
      <c r="DH13" s="253" t="s">
        <v>272</v>
      </c>
      <c r="DI13" s="253">
        <v>0</v>
      </c>
      <c r="DJ13" s="173">
        <f t="shared" si="98"/>
        <v>0</v>
      </c>
      <c r="DK13" s="172" t="e">
        <f>IF(VLOOKUP($B13,#REF!,6,FALSE)="Y","Yes","")</f>
        <v>#REF!</v>
      </c>
      <c r="DL13" s="172" t="e">
        <f>VLOOKUP($B13,#REF!,4,FALSE)</f>
        <v>#REF!</v>
      </c>
      <c r="DM13" s="173" t="e">
        <f t="shared" si="15"/>
        <v>#REF!</v>
      </c>
      <c r="DN13" s="1"/>
      <c r="DO13" s="172">
        <f t="shared" si="99"/>
        <v>51243320.468307287</v>
      </c>
      <c r="DP13" s="252">
        <v>53676213.353246495</v>
      </c>
      <c r="DQ13" s="172">
        <f t="shared" si="100"/>
        <v>2432892.8849392086</v>
      </c>
      <c r="DR13" s="173">
        <f t="shared" si="16"/>
        <v>4.7477268504563283E-2</v>
      </c>
      <c r="DS13" s="172">
        <f t="shared" si="101"/>
        <v>53676213.353246495</v>
      </c>
      <c r="DT13" s="252">
        <v>54740001.995527551</v>
      </c>
      <c r="DU13" s="172">
        <f t="shared" si="102"/>
        <v>1063788.6422810555</v>
      </c>
      <c r="DV13" s="173">
        <f t="shared" si="103"/>
        <v>2.0759557198073885E-2</v>
      </c>
      <c r="DW13" s="172">
        <f t="shared" si="104"/>
        <v>54740001.995527551</v>
      </c>
      <c r="DX13" s="252">
        <v>54665842.12800087</v>
      </c>
      <c r="DY13" s="172">
        <f t="shared" si="105"/>
        <v>-74159.867526680231</v>
      </c>
      <c r="DZ13" s="173">
        <f t="shared" si="106"/>
        <v>-1.4472104236989533E-3</v>
      </c>
      <c r="EA13" s="172">
        <f t="shared" si="107"/>
        <v>54665842.12800087</v>
      </c>
      <c r="EB13" s="252">
        <v>51085590.416575074</v>
      </c>
      <c r="EC13" s="172">
        <f t="shared" si="108"/>
        <v>-3580251.7114257962</v>
      </c>
      <c r="ED13" s="173">
        <f t="shared" si="109"/>
        <v>-6.9867675995744505E-2</v>
      </c>
      <c r="EE13" s="172">
        <f t="shared" si="110"/>
        <v>51085590.416575074</v>
      </c>
      <c r="EF13" s="252">
        <v>51329481.345523946</v>
      </c>
      <c r="EG13" s="172">
        <f t="shared" si="111"/>
        <v>243890.92894887179</v>
      </c>
      <c r="EH13" s="173">
        <f t="shared" si="112"/>
        <v>4.7594677066196802E-3</v>
      </c>
      <c r="EI13" s="172">
        <f t="shared" si="113"/>
        <v>51329481.345523946</v>
      </c>
      <c r="EJ13" s="252">
        <v>51243320.468307287</v>
      </c>
      <c r="EK13" s="172">
        <f t="shared" si="114"/>
        <v>-86160.877216659486</v>
      </c>
      <c r="EL13" s="173">
        <f t="shared" si="115"/>
        <v>-1.6814069898133911E-3</v>
      </c>
      <c r="EM13" s="172">
        <f t="shared" si="116"/>
        <v>0</v>
      </c>
      <c r="EN13" s="173">
        <f t="shared" si="17"/>
        <v>0</v>
      </c>
      <c r="EO13" s="214"/>
      <c r="EP13" s="273">
        <v>27378951.597672034</v>
      </c>
      <c r="EQ13" s="273">
        <v>28254419.096092772</v>
      </c>
      <c r="ER13" s="172">
        <f t="shared" si="117"/>
        <v>875467.49842073768</v>
      </c>
      <c r="ES13" s="173">
        <f t="shared" si="18"/>
        <v>3.1975932142528661E-2</v>
      </c>
      <c r="ET13" s="273">
        <v>17259965.746663496</v>
      </c>
      <c r="EU13" s="273">
        <v>17812021.361058958</v>
      </c>
      <c r="EV13" s="172">
        <f t="shared" si="118"/>
        <v>552055.61439546198</v>
      </c>
      <c r="EW13" s="173">
        <f t="shared" si="19"/>
        <v>3.1984745653517839E-2</v>
      </c>
      <c r="EX13" s="273">
        <v>7811041.4900000002</v>
      </c>
      <c r="EY13" s="273">
        <v>8062335.0500000007</v>
      </c>
      <c r="EZ13" s="172">
        <f t="shared" si="119"/>
        <v>251293.56000000052</v>
      </c>
      <c r="FA13" s="173">
        <f t="shared" si="20"/>
        <v>3.217158176943706E-2</v>
      </c>
      <c r="FB13" s="172">
        <f t="shared" si="120"/>
        <v>28254419.096092772</v>
      </c>
      <c r="FC13" s="273">
        <v>28818133.381021924</v>
      </c>
      <c r="FD13" s="172">
        <f t="shared" si="121"/>
        <v>563714.28492915258</v>
      </c>
      <c r="FE13" s="173">
        <f t="shared" si="21"/>
        <v>1.9951367006059137E-2</v>
      </c>
      <c r="FF13" s="172">
        <f t="shared" si="122"/>
        <v>17812021.361058958</v>
      </c>
      <c r="FG13" s="273">
        <v>18049144.016788092</v>
      </c>
      <c r="FH13" s="172">
        <f t="shared" si="123"/>
        <v>237122.65572913364</v>
      </c>
      <c r="FI13" s="173">
        <f t="shared" si="22"/>
        <v>1.3312506813378099E-2</v>
      </c>
      <c r="FJ13" s="172">
        <f t="shared" si="124"/>
        <v>28818133.381021924</v>
      </c>
      <c r="FK13" s="273">
        <v>28755274.680704251</v>
      </c>
      <c r="FL13" s="172">
        <f t="shared" si="125"/>
        <v>-62858.700317673385</v>
      </c>
      <c r="FM13" s="173">
        <f t="shared" si="23"/>
        <v>-2.1812203964281999E-3</v>
      </c>
      <c r="FN13" s="172">
        <f t="shared" si="126"/>
        <v>18049144.016788092</v>
      </c>
      <c r="FO13" s="273">
        <v>18022702.988500804</v>
      </c>
      <c r="FP13" s="172">
        <f t="shared" si="127"/>
        <v>-26441.028287287802</v>
      </c>
      <c r="FQ13" s="173">
        <f t="shared" si="24"/>
        <v>-1.4649463854182862E-3</v>
      </c>
      <c r="FR13" s="172">
        <f t="shared" si="128"/>
        <v>18022702.988500804</v>
      </c>
      <c r="FS13" s="273">
        <v>17249966.531701982</v>
      </c>
      <c r="FT13" s="172">
        <f t="shared" si="129"/>
        <v>-772736.45679882169</v>
      </c>
      <c r="FU13" s="173">
        <f t="shared" si="25"/>
        <v>-4.2875724983752882E-2</v>
      </c>
      <c r="FV13" s="172">
        <f t="shared" si="26"/>
        <v>8062335.0500000007</v>
      </c>
      <c r="FW13" s="273">
        <v>8761006.0999999996</v>
      </c>
      <c r="FX13" s="172">
        <f t="shared" si="130"/>
        <v>698671.04999999888</v>
      </c>
      <c r="FY13" s="173">
        <f t="shared" si="27"/>
        <v>8.6658647360481358E-2</v>
      </c>
      <c r="FZ13" s="214"/>
      <c r="GA13" s="172">
        <f t="shared" si="28"/>
        <v>27378951.597672034</v>
      </c>
      <c r="GB13" s="172">
        <f t="shared" si="29"/>
        <v>875467.49842073768</v>
      </c>
      <c r="GC13" s="172">
        <f t="shared" si="30"/>
        <v>563714.28492915258</v>
      </c>
      <c r="GD13" s="172">
        <f t="shared" si="31"/>
        <v>-62858.700317673385</v>
      </c>
      <c r="GE13" s="172">
        <f t="shared" si="32"/>
        <v>1376323.0830322169</v>
      </c>
      <c r="GF13" s="172">
        <f t="shared" si="33"/>
        <v>28755274.680704251</v>
      </c>
      <c r="GG13" s="173">
        <f t="shared" si="34"/>
        <v>5.0269385886537829E-2</v>
      </c>
      <c r="GH13" s="244"/>
      <c r="GI13" s="172">
        <f t="shared" si="35"/>
        <v>17259965.746663496</v>
      </c>
      <c r="GJ13" s="172">
        <f t="shared" si="36"/>
        <v>552055.61439546198</v>
      </c>
      <c r="GK13" s="172">
        <f t="shared" si="37"/>
        <v>237122.65572913364</v>
      </c>
      <c r="GL13" s="172">
        <f t="shared" si="38"/>
        <v>-26441.028287287802</v>
      </c>
      <c r="GM13" s="172">
        <f t="shared" si="39"/>
        <v>-772736.45679882169</v>
      </c>
      <c r="GN13" s="172">
        <f t="shared" si="40"/>
        <v>-9999.2149615138769</v>
      </c>
      <c r="GO13" s="172">
        <f t="shared" si="41"/>
        <v>17249966.531701982</v>
      </c>
      <c r="GP13" s="173">
        <f t="shared" si="42"/>
        <v>-5.7932994238107417E-4</v>
      </c>
      <c r="GQ13" s="214"/>
      <c r="GR13" s="172">
        <f t="shared" si="43"/>
        <v>7811041.4900000002</v>
      </c>
      <c r="GS13" s="172">
        <f t="shared" si="44"/>
        <v>251293.56000000052</v>
      </c>
      <c r="GT13" s="172">
        <f t="shared" si="45"/>
        <v>698671.04999999888</v>
      </c>
      <c r="GU13" s="172">
        <f t="shared" si="131"/>
        <v>949964.6099999994</v>
      </c>
      <c r="GV13" s="172">
        <f t="shared" si="132"/>
        <v>8761006.0999999996</v>
      </c>
      <c r="GW13" s="173">
        <f t="shared" si="133"/>
        <v>0.12161817488950495</v>
      </c>
      <c r="GX13" s="214"/>
      <c r="GY13" s="273">
        <v>-1206638.3660282427</v>
      </c>
      <c r="GZ13" s="172" t="e">
        <f t="shared" si="134"/>
        <v>#REF!</v>
      </c>
      <c r="HA13" s="172" t="e">
        <f>-VLOOKUP($B13,#REF!,23,FALSE)</f>
        <v>#REF!</v>
      </c>
    </row>
    <row r="14" spans="1:209" ht="15" customHeight="1" x14ac:dyDescent="0.45">
      <c r="A14" s="148">
        <v>1</v>
      </c>
      <c r="B14" s="215" t="s">
        <v>8</v>
      </c>
      <c r="C14" s="172">
        <v>2202320.7754048686</v>
      </c>
      <c r="D14" s="173">
        <f t="shared" si="0"/>
        <v>1.5288713465251007E-3</v>
      </c>
      <c r="E14" s="1"/>
      <c r="F14" s="252">
        <v>3200856.3955327561</v>
      </c>
      <c r="G14" s="173">
        <f t="shared" si="1"/>
        <v>1.3619967095452399E-3</v>
      </c>
      <c r="H14" s="173">
        <f t="shared" si="46"/>
        <v>0.89085109263173634</v>
      </c>
      <c r="I14" s="172" t="e">
        <f>VLOOKUP($B14,#REF!,24,FALSE)</f>
        <v>#REF!</v>
      </c>
      <c r="J14" s="173" t="e">
        <f t="shared" si="2"/>
        <v>#REF!</v>
      </c>
      <c r="K14" s="173" t="e">
        <f t="shared" si="47"/>
        <v>#REF!</v>
      </c>
      <c r="L14" s="172" t="e">
        <f t="shared" si="48"/>
        <v>#REF!</v>
      </c>
      <c r="M14" s="173" t="e">
        <f t="shared" si="49"/>
        <v>#REF!</v>
      </c>
      <c r="N14" s="173" t="e">
        <f t="shared" si="50"/>
        <v>#REF!</v>
      </c>
      <c r="O14" s="176"/>
      <c r="P14" s="253">
        <v>28</v>
      </c>
      <c r="Q14" s="173">
        <f t="shared" si="3"/>
        <v>1.5574591166981867E-3</v>
      </c>
      <c r="R14" s="172" t="e">
        <f>VLOOKUP($B14,#REF!,4,FALSE)</f>
        <v>#REF!</v>
      </c>
      <c r="S14" s="173" t="e">
        <f t="shared" si="4"/>
        <v>#REF!</v>
      </c>
      <c r="T14" s="172" t="e">
        <f t="shared" si="51"/>
        <v>#REF!</v>
      </c>
      <c r="U14" s="173" t="e">
        <f t="shared" si="52"/>
        <v>#REF!</v>
      </c>
      <c r="V14" s="173" t="e">
        <f t="shared" si="53"/>
        <v>#REF!</v>
      </c>
      <c r="W14" s="1"/>
      <c r="X14" s="189">
        <f>VLOOKUP($B14,'Average RAS salary'!$A$5:$D$62,4,FALSE)</f>
        <v>62241.450606263999</v>
      </c>
      <c r="Y14" s="253">
        <v>44755.630229944421</v>
      </c>
      <c r="Z14" s="252" t="s">
        <v>273</v>
      </c>
      <c r="AA14" s="252" t="s">
        <v>273</v>
      </c>
      <c r="AB14" s="173">
        <f t="shared" si="5"/>
        <v>0.7672058230115264</v>
      </c>
      <c r="AC14" s="172" t="e">
        <f>VLOOKUP($B14,#REF!,3,FALSE)</f>
        <v>#REF!</v>
      </c>
      <c r="AD14" s="172" t="e">
        <f>VLOOKUP($B14,#REF!,5,FALSE)</f>
        <v>#REF!</v>
      </c>
      <c r="AE14" s="172" t="e">
        <f>VLOOKUP($B14,#REF!,6,FALSE)</f>
        <v>#REF!</v>
      </c>
      <c r="AF14" s="173" t="e">
        <f t="shared" si="6"/>
        <v>#REF!</v>
      </c>
      <c r="AG14" s="172" t="e">
        <f t="shared" si="54"/>
        <v>#REF!</v>
      </c>
      <c r="AH14" s="173" t="e">
        <f t="shared" si="7"/>
        <v>#REF!</v>
      </c>
      <c r="AI14" s="173" t="e">
        <f t="shared" si="8"/>
        <v>#REF!</v>
      </c>
      <c r="AJ14" s="189">
        <v>57447.426694915259</v>
      </c>
      <c r="AK14" s="189">
        <f>VLOOKUP($B14,'Average RAS salary'!$A$5:$D$62,4,FALSE)</f>
        <v>62241.450606263999</v>
      </c>
      <c r="AL14" s="189">
        <f t="shared" si="55"/>
        <v>4794.0239113487405</v>
      </c>
      <c r="AM14" s="173">
        <f t="shared" si="56"/>
        <v>8.3450629334682891E-2</v>
      </c>
      <c r="AN14" s="189" t="e">
        <f t="shared" si="57"/>
        <v>#REF!</v>
      </c>
      <c r="AO14" s="189" t="e">
        <f t="shared" si="58"/>
        <v>#REF!</v>
      </c>
      <c r="AP14" s="189" t="e">
        <f t="shared" si="59"/>
        <v>#REF!</v>
      </c>
      <c r="AQ14" s="189" t="e">
        <f t="shared" si="135"/>
        <v>#REF!</v>
      </c>
      <c r="AR14" s="189" t="e">
        <f t="shared" si="60"/>
        <v>#REF!</v>
      </c>
      <c r="AS14" s="189" t="e">
        <f t="shared" si="9"/>
        <v>#REF!</v>
      </c>
      <c r="AT14" s="213" t="e">
        <f t="shared" si="61"/>
        <v>#REF!</v>
      </c>
      <c r="AU14" s="173" t="e">
        <f t="shared" si="62"/>
        <v>#REF!</v>
      </c>
      <c r="AV14" s="189"/>
      <c r="AW14" s="189">
        <f>VLOOKUP($B14,'Average RAS salary'!$A$5:$D$62,4,FALSE)</f>
        <v>62241.450606263999</v>
      </c>
      <c r="AX14" s="189" t="e">
        <f t="shared" si="10"/>
        <v>#REF!</v>
      </c>
      <c r="AY14" s="189">
        <v>39865.262959708809</v>
      </c>
      <c r="AZ14" s="189" t="e">
        <f t="shared" si="11"/>
        <v>#REF!</v>
      </c>
      <c r="BA14" s="189" t="e">
        <f t="shared" si="63"/>
        <v>#REF!</v>
      </c>
      <c r="BB14" s="189" t="e">
        <f t="shared" si="64"/>
        <v>#REF!</v>
      </c>
      <c r="BC14" s="189" t="e">
        <f t="shared" si="65"/>
        <v>#REF!</v>
      </c>
      <c r="BD14" s="213">
        <f t="shared" si="66"/>
        <v>-22376.18764655519</v>
      </c>
      <c r="BE14" s="173">
        <f t="shared" si="67"/>
        <v>-0.35950620412280759</v>
      </c>
      <c r="BF14" s="189"/>
      <c r="BG14" s="189">
        <f>VLOOKUP($B14,'Average RAS salary'!$A$5:$D$62,4,FALSE)</f>
        <v>62241.450606263999</v>
      </c>
      <c r="BH14" s="189" t="e">
        <f t="shared" si="68"/>
        <v>#REF!</v>
      </c>
      <c r="BI14" s="189" t="e">
        <f>$BG$65*#REF!</f>
        <v>#REF!</v>
      </c>
      <c r="BJ14" s="189" t="e">
        <f t="shared" si="69"/>
        <v>#REF!</v>
      </c>
      <c r="BK14" s="189" t="e">
        <f t="shared" si="12"/>
        <v>#REF!</v>
      </c>
      <c r="BL14" s="189" t="e">
        <f t="shared" si="13"/>
        <v>#REF!</v>
      </c>
      <c r="BM14" s="189" t="e">
        <f t="shared" si="70"/>
        <v>#REF!</v>
      </c>
      <c r="BN14" s="213" t="e">
        <f t="shared" si="71"/>
        <v>#REF!</v>
      </c>
      <c r="BO14" s="173" t="e">
        <f t="shared" si="72"/>
        <v>#REF!</v>
      </c>
      <c r="BP14" s="189"/>
      <c r="BQ14" s="189">
        <f>VLOOKUP($B14,'Average RAS salary'!$A$5:$D$62,4,FALSE)</f>
        <v>62241.450606263999</v>
      </c>
      <c r="BR14" s="189" t="e">
        <f t="shared" si="73"/>
        <v>#REF!</v>
      </c>
      <c r="BS14" s="189" t="e">
        <f>VLOOKUP($B14,#REF!,19,FALSE)*$BQ$65</f>
        <v>#REF!</v>
      </c>
      <c r="BT14" s="189" t="e">
        <f t="shared" si="74"/>
        <v>#REF!</v>
      </c>
      <c r="BU14" s="189" t="e">
        <f t="shared" si="75"/>
        <v>#REF!</v>
      </c>
      <c r="BV14" s="189" t="e">
        <f t="shared" si="76"/>
        <v>#REF!</v>
      </c>
      <c r="BW14" s="189" t="e">
        <f t="shared" si="77"/>
        <v>#REF!</v>
      </c>
      <c r="BX14" s="213" t="e">
        <f t="shared" si="78"/>
        <v>#REF!</v>
      </c>
      <c r="BY14" s="173" t="e">
        <f t="shared" si="79"/>
        <v>#REF!</v>
      </c>
      <c r="BZ14" s="189"/>
      <c r="CA14" s="189">
        <f>VLOOKUP($B14,'Average RAS salary'!$A$5:$D$62,4,FALSE)</f>
        <v>62241.450606263999</v>
      </c>
      <c r="CB14" s="189" t="e">
        <f t="shared" si="80"/>
        <v>#REF!</v>
      </c>
      <c r="CC14" s="189" t="e">
        <f>IF(VLOOKUP($B14,#REF!,7,FALSE)&gt;VLOOKUP($B14,#REF!,19,FALSE)*$CA$65,VLOOKUP($B14,#REF!,19,FALSE)*$CA$65,VLOOKUP($B14,#REF!,7,FALSE))</f>
        <v>#REF!</v>
      </c>
      <c r="CD14" s="189" t="e">
        <f t="shared" si="81"/>
        <v>#REF!</v>
      </c>
      <c r="CE14" s="189" t="e">
        <f t="shared" si="82"/>
        <v>#REF!</v>
      </c>
      <c r="CF14" s="189" t="e">
        <f t="shared" si="83"/>
        <v>#REF!</v>
      </c>
      <c r="CG14" s="189" t="e">
        <f t="shared" si="84"/>
        <v>#REF!</v>
      </c>
      <c r="CH14" s="213" t="e">
        <f t="shared" si="85"/>
        <v>#REF!</v>
      </c>
      <c r="CI14" s="173" t="e">
        <f t="shared" si="86"/>
        <v>#REF!</v>
      </c>
      <c r="CJ14" s="189"/>
      <c r="CK14" s="189">
        <f>VLOOKUP($B14,'Average RAS salary'!$A$5:$D$62,4,FALSE)</f>
        <v>62241.450606263999</v>
      </c>
      <c r="CL14" s="189" t="e">
        <f t="shared" si="87"/>
        <v>#REF!</v>
      </c>
      <c r="CM14" s="189" t="e">
        <f>IF($AY14&gt;VLOOKUP($B14,#REF!,19,FALSE)*$CK$65,VLOOKUP($B14,#REF!,19,FALSE)*$CK$65,$AY14)</f>
        <v>#REF!</v>
      </c>
      <c r="CN14" s="189" t="e">
        <f t="shared" si="88"/>
        <v>#REF!</v>
      </c>
      <c r="CO14" s="189" t="e">
        <f t="shared" si="89"/>
        <v>#REF!</v>
      </c>
      <c r="CP14" s="189" t="e">
        <f t="shared" si="90"/>
        <v>#REF!</v>
      </c>
      <c r="CQ14" s="189" t="e">
        <f t="shared" si="91"/>
        <v>#REF!</v>
      </c>
      <c r="CR14" s="213" t="e">
        <f t="shared" si="92"/>
        <v>#REF!</v>
      </c>
      <c r="CS14" s="173" t="e">
        <f t="shared" si="93"/>
        <v>#REF!</v>
      </c>
      <c r="CT14" s="1"/>
      <c r="CU14" s="254">
        <v>0.23494999954538046</v>
      </c>
      <c r="CV14" s="252">
        <v>29601.229387755113</v>
      </c>
      <c r="CW14" s="254">
        <v>0.2349500002202814</v>
      </c>
      <c r="CX14" s="255">
        <v>30787</v>
      </c>
      <c r="CY14" s="190" t="e">
        <f>VLOOKUP($B14,#REF!,13,FALSE)</f>
        <v>#REF!</v>
      </c>
      <c r="CZ14" s="172" t="e">
        <f>VLOOKUP($B14,#REF!,14,FALSE)</f>
        <v>#REF!</v>
      </c>
      <c r="DA14" s="190" t="e">
        <f>VLOOKUP($B14,#REF!,15,FALSE)</f>
        <v>#REF!</v>
      </c>
      <c r="DB14" s="189" t="e">
        <f>VLOOKUP($B14,#REF!,16,FALSE)</f>
        <v>#REF!</v>
      </c>
      <c r="DC14" s="190" t="e">
        <f t="shared" si="94"/>
        <v>#REF!</v>
      </c>
      <c r="DD14" s="190" t="e">
        <f t="shared" si="95"/>
        <v>#REF!</v>
      </c>
      <c r="DE14" s="190" t="e">
        <f t="shared" si="96"/>
        <v>#REF!</v>
      </c>
      <c r="DF14" s="190" t="e">
        <f t="shared" si="97"/>
        <v>#REF!</v>
      </c>
      <c r="DG14" s="1"/>
      <c r="DH14" s="253" t="s">
        <v>272</v>
      </c>
      <c r="DI14" s="253">
        <v>0</v>
      </c>
      <c r="DJ14" s="173">
        <f t="shared" si="98"/>
        <v>0</v>
      </c>
      <c r="DK14" s="172" t="e">
        <f>IF(VLOOKUP($B14,#REF!,6,FALSE)="Y","Yes","")</f>
        <v>#REF!</v>
      </c>
      <c r="DL14" s="172" t="e">
        <f>VLOOKUP($B14,#REF!,4,FALSE)</f>
        <v>#REF!</v>
      </c>
      <c r="DM14" s="173" t="e">
        <f t="shared" si="15"/>
        <v>#REF!</v>
      </c>
      <c r="DN14" s="1"/>
      <c r="DO14" s="172">
        <f t="shared" si="99"/>
        <v>3200856.3955327561</v>
      </c>
      <c r="DP14" s="252">
        <v>2907181.5494100386</v>
      </c>
      <c r="DQ14" s="172">
        <f t="shared" si="100"/>
        <v>-293674.84612271748</v>
      </c>
      <c r="DR14" s="173">
        <f t="shared" si="16"/>
        <v>-9.1748835259395548E-2</v>
      </c>
      <c r="DS14" s="172">
        <f t="shared" si="101"/>
        <v>2907181.5494100386</v>
      </c>
      <c r="DT14" s="252">
        <v>2947475.825655648</v>
      </c>
      <c r="DU14" s="172">
        <f t="shared" si="102"/>
        <v>40294.276245609391</v>
      </c>
      <c r="DV14" s="173">
        <f t="shared" si="103"/>
        <v>1.2588592322306524E-2</v>
      </c>
      <c r="DW14" s="172">
        <f t="shared" si="104"/>
        <v>2947475.825655648</v>
      </c>
      <c r="DX14" s="252">
        <v>2960320.8504626132</v>
      </c>
      <c r="DY14" s="172">
        <f t="shared" si="105"/>
        <v>12845.024806965142</v>
      </c>
      <c r="DZ14" s="173">
        <f t="shared" si="106"/>
        <v>4.0129962796494638E-3</v>
      </c>
      <c r="EA14" s="172">
        <f t="shared" si="107"/>
        <v>2960320.8504626132</v>
      </c>
      <c r="EB14" s="252">
        <v>3154263.7299645501</v>
      </c>
      <c r="EC14" s="172">
        <f t="shared" si="108"/>
        <v>193942.87950193696</v>
      </c>
      <c r="ED14" s="173">
        <f t="shared" si="109"/>
        <v>6.059093428015435E-2</v>
      </c>
      <c r="EE14" s="172">
        <f t="shared" si="110"/>
        <v>3154263.7299645501</v>
      </c>
      <c r="EF14" s="252">
        <v>3201670.313558992</v>
      </c>
      <c r="EG14" s="172">
        <f t="shared" si="111"/>
        <v>47406.58359444188</v>
      </c>
      <c r="EH14" s="173">
        <f t="shared" si="112"/>
        <v>1.4810593708797563E-2</v>
      </c>
      <c r="EI14" s="172">
        <f t="shared" si="113"/>
        <v>3201670.313558992</v>
      </c>
      <c r="EJ14" s="252">
        <v>3200856.3955327561</v>
      </c>
      <c r="EK14" s="172">
        <f t="shared" si="114"/>
        <v>-813.91802623588592</v>
      </c>
      <c r="EL14" s="173">
        <f t="shared" si="115"/>
        <v>-2.5428133151234858E-4</v>
      </c>
      <c r="EM14" s="172">
        <f t="shared" si="116"/>
        <v>0</v>
      </c>
      <c r="EN14" s="173">
        <f t="shared" si="17"/>
        <v>0</v>
      </c>
      <c r="EO14" s="214"/>
      <c r="EP14" s="273">
        <v>1323149.2480839407</v>
      </c>
      <c r="EQ14" s="273">
        <v>1186184.356117893</v>
      </c>
      <c r="ER14" s="172">
        <f t="shared" si="117"/>
        <v>-136964.8919660477</v>
      </c>
      <c r="ES14" s="173">
        <f t="shared" si="18"/>
        <v>-0.10351431795346389</v>
      </c>
      <c r="ET14" s="273">
        <v>1145637.1913384653</v>
      </c>
      <c r="EU14" s="273">
        <v>1024653.6018700439</v>
      </c>
      <c r="EV14" s="172">
        <f t="shared" si="118"/>
        <v>-120983.58946842141</v>
      </c>
      <c r="EW14" s="173">
        <f t="shared" si="19"/>
        <v>-0.10560375517058281</v>
      </c>
      <c r="EX14" s="273">
        <v>829391.91999999993</v>
      </c>
      <c r="EY14" s="273">
        <v>740528.5</v>
      </c>
      <c r="EZ14" s="172">
        <f t="shared" si="119"/>
        <v>-88863.419999999925</v>
      </c>
      <c r="FA14" s="173">
        <f t="shared" si="20"/>
        <v>-0.10714285714285707</v>
      </c>
      <c r="FB14" s="172">
        <f t="shared" si="120"/>
        <v>1186184.356117893</v>
      </c>
      <c r="FC14" s="273">
        <v>1205002.5437962227</v>
      </c>
      <c r="FD14" s="172">
        <f t="shared" si="121"/>
        <v>18818.187678329647</v>
      </c>
      <c r="FE14" s="173">
        <f t="shared" si="21"/>
        <v>1.5864471303530945E-2</v>
      </c>
      <c r="FF14" s="172">
        <f t="shared" si="122"/>
        <v>1024653.6018700439</v>
      </c>
      <c r="FG14" s="273">
        <v>1029074.9350569823</v>
      </c>
      <c r="FH14" s="172">
        <f t="shared" si="123"/>
        <v>4421.3331869384274</v>
      </c>
      <c r="FI14" s="173">
        <f t="shared" si="22"/>
        <v>4.3149540282386885E-3</v>
      </c>
      <c r="FJ14" s="172">
        <f t="shared" si="124"/>
        <v>1205002.5437962227</v>
      </c>
      <c r="FK14" s="273">
        <v>1387751.655472294</v>
      </c>
      <c r="FL14" s="172">
        <f t="shared" si="125"/>
        <v>182749.1116760713</v>
      </c>
      <c r="FM14" s="173">
        <f t="shared" si="23"/>
        <v>0.15165869368237275</v>
      </c>
      <c r="FN14" s="172">
        <f t="shared" si="126"/>
        <v>1029074.9350569823</v>
      </c>
      <c r="FO14" s="273">
        <v>1072011.8387912719</v>
      </c>
      <c r="FP14" s="172">
        <f t="shared" si="127"/>
        <v>42936.903734289575</v>
      </c>
      <c r="FQ14" s="173">
        <f t="shared" si="24"/>
        <v>4.1723787327413678E-2</v>
      </c>
      <c r="FR14" s="172">
        <f t="shared" si="128"/>
        <v>1072011.8387912719</v>
      </c>
      <c r="FS14" s="273">
        <v>1076185.0722713221</v>
      </c>
      <c r="FT14" s="172">
        <f t="shared" si="129"/>
        <v>4173.2334800502285</v>
      </c>
      <c r="FU14" s="173">
        <f t="shared" si="25"/>
        <v>3.8928986873462933E-3</v>
      </c>
      <c r="FV14" s="172">
        <f t="shared" si="26"/>
        <v>740528.5</v>
      </c>
      <c r="FW14" s="273">
        <v>815545</v>
      </c>
      <c r="FX14" s="172">
        <f t="shared" si="130"/>
        <v>75016.5</v>
      </c>
      <c r="FY14" s="173">
        <f t="shared" si="27"/>
        <v>0.10130130035508424</v>
      </c>
      <c r="FZ14" s="214"/>
      <c r="GA14" s="172">
        <f t="shared" si="28"/>
        <v>1323149.2480839407</v>
      </c>
      <c r="GB14" s="172">
        <f t="shared" si="29"/>
        <v>-136964.8919660477</v>
      </c>
      <c r="GC14" s="172">
        <f t="shared" si="30"/>
        <v>18818.187678329647</v>
      </c>
      <c r="GD14" s="172">
        <f t="shared" si="31"/>
        <v>182749.1116760713</v>
      </c>
      <c r="GE14" s="172">
        <f t="shared" si="32"/>
        <v>64602.407388353255</v>
      </c>
      <c r="GF14" s="172">
        <f t="shared" si="33"/>
        <v>1387751.655472294</v>
      </c>
      <c r="GG14" s="173">
        <f t="shared" si="34"/>
        <v>4.882473196572823E-2</v>
      </c>
      <c r="GH14" s="244"/>
      <c r="GI14" s="172">
        <f t="shared" si="35"/>
        <v>1145637.1913384653</v>
      </c>
      <c r="GJ14" s="172">
        <f t="shared" si="36"/>
        <v>-120983.58946842141</v>
      </c>
      <c r="GK14" s="172">
        <f t="shared" si="37"/>
        <v>4421.3331869384274</v>
      </c>
      <c r="GL14" s="172">
        <f t="shared" si="38"/>
        <v>42936.903734289575</v>
      </c>
      <c r="GM14" s="172">
        <f t="shared" si="39"/>
        <v>4173.2334800502285</v>
      </c>
      <c r="GN14" s="172">
        <f t="shared" si="40"/>
        <v>-69452.119067143183</v>
      </c>
      <c r="GO14" s="172">
        <f t="shared" si="41"/>
        <v>1076185.0722713221</v>
      </c>
      <c r="GP14" s="173">
        <f t="shared" si="42"/>
        <v>-6.062313583413019E-2</v>
      </c>
      <c r="GQ14" s="214"/>
      <c r="GR14" s="172">
        <f t="shared" si="43"/>
        <v>829391.91999999993</v>
      </c>
      <c r="GS14" s="172">
        <f t="shared" si="44"/>
        <v>-88863.419999999925</v>
      </c>
      <c r="GT14" s="172">
        <f t="shared" si="45"/>
        <v>75016.5</v>
      </c>
      <c r="GU14" s="172">
        <f t="shared" si="131"/>
        <v>-13846.919999999925</v>
      </c>
      <c r="GV14" s="172">
        <f t="shared" si="132"/>
        <v>815545</v>
      </c>
      <c r="GW14" s="173">
        <f t="shared" si="133"/>
        <v>-1.6695267540103267E-2</v>
      </c>
      <c r="GX14" s="214"/>
      <c r="GY14" s="273">
        <v>-97321.963889649924</v>
      </c>
      <c r="GZ14" s="172" t="e">
        <f t="shared" si="134"/>
        <v>#REF!</v>
      </c>
      <c r="HA14" s="172" t="e">
        <f>-VLOOKUP($B14,#REF!,23,FALSE)</f>
        <v>#REF!</v>
      </c>
    </row>
    <row r="15" spans="1:209" ht="15" customHeight="1" x14ac:dyDescent="0.45">
      <c r="A15" s="148">
        <v>2</v>
      </c>
      <c r="B15" s="215" t="s">
        <v>20</v>
      </c>
      <c r="C15" s="172">
        <v>5880900.7959721899</v>
      </c>
      <c r="D15" s="173">
        <f t="shared" si="0"/>
        <v>4.0825754445628524E-3</v>
      </c>
      <c r="E15" s="1"/>
      <c r="F15" s="252">
        <v>8768397.8131050486</v>
      </c>
      <c r="G15" s="173">
        <f t="shared" si="1"/>
        <v>3.7310417880977815E-3</v>
      </c>
      <c r="H15" s="173">
        <f t="shared" si="46"/>
        <v>0.91389414323420748</v>
      </c>
      <c r="I15" s="172" t="e">
        <f>VLOOKUP($B15,#REF!,24,FALSE)</f>
        <v>#REF!</v>
      </c>
      <c r="J15" s="173" t="e">
        <f t="shared" si="2"/>
        <v>#REF!</v>
      </c>
      <c r="K15" s="173" t="e">
        <f t="shared" si="47"/>
        <v>#REF!</v>
      </c>
      <c r="L15" s="172" t="e">
        <f t="shared" si="48"/>
        <v>#REF!</v>
      </c>
      <c r="M15" s="173" t="e">
        <f t="shared" si="49"/>
        <v>#REF!</v>
      </c>
      <c r="N15" s="173" t="e">
        <f t="shared" si="50"/>
        <v>#REF!</v>
      </c>
      <c r="O15" s="176"/>
      <c r="P15" s="253">
        <v>82</v>
      </c>
      <c r="Q15" s="173">
        <f t="shared" si="3"/>
        <v>4.5611302703304039E-3</v>
      </c>
      <c r="R15" s="172" t="e">
        <f>VLOOKUP($B15,#REF!,4,FALSE)</f>
        <v>#REF!</v>
      </c>
      <c r="S15" s="173" t="e">
        <f t="shared" si="4"/>
        <v>#REF!</v>
      </c>
      <c r="T15" s="172" t="e">
        <f t="shared" si="51"/>
        <v>#REF!</v>
      </c>
      <c r="U15" s="173" t="e">
        <f t="shared" si="52"/>
        <v>#REF!</v>
      </c>
      <c r="V15" s="173" t="e">
        <f t="shared" si="53"/>
        <v>#REF!</v>
      </c>
      <c r="W15" s="1"/>
      <c r="X15" s="189">
        <f>VLOOKUP($B15,'Average RAS salary'!$A$5:$D$62,4,FALSE)</f>
        <v>61254.352947558764</v>
      </c>
      <c r="Y15" s="253">
        <v>58914.787803888663</v>
      </c>
      <c r="Z15" s="252" t="s">
        <v>272</v>
      </c>
      <c r="AA15" s="252" t="s">
        <v>272</v>
      </c>
      <c r="AB15" s="173">
        <f t="shared" si="5"/>
        <v>1.0099236237408686</v>
      </c>
      <c r="AC15" s="172" t="e">
        <f>VLOOKUP($B15,#REF!,3,FALSE)</f>
        <v>#REF!</v>
      </c>
      <c r="AD15" s="172" t="e">
        <f>VLOOKUP($B15,#REF!,5,FALSE)</f>
        <v>#REF!</v>
      </c>
      <c r="AE15" s="172" t="e">
        <f>VLOOKUP($B15,#REF!,6,FALSE)</f>
        <v>#REF!</v>
      </c>
      <c r="AF15" s="173" t="e">
        <f t="shared" si="6"/>
        <v>#REF!</v>
      </c>
      <c r="AG15" s="172" t="e">
        <f t="shared" si="54"/>
        <v>#REF!</v>
      </c>
      <c r="AH15" s="173" t="e">
        <f t="shared" si="7"/>
        <v>#REF!</v>
      </c>
      <c r="AI15" s="173" t="e">
        <f t="shared" si="8"/>
        <v>#REF!</v>
      </c>
      <c r="AJ15" s="189">
        <v>55776.164352409658</v>
      </c>
      <c r="AK15" s="189">
        <f>VLOOKUP($B15,'Average RAS salary'!$A$5:$D$62,4,FALSE)</f>
        <v>61254.352947558764</v>
      </c>
      <c r="AL15" s="189">
        <f t="shared" si="55"/>
        <v>5478.1885951491058</v>
      </c>
      <c r="AM15" s="173">
        <f t="shared" si="56"/>
        <v>9.8217377597648231E-2</v>
      </c>
      <c r="AN15" s="189" t="e">
        <f t="shared" si="57"/>
        <v>#REF!</v>
      </c>
      <c r="AO15" s="189" t="e">
        <f t="shared" si="58"/>
        <v>#REF!</v>
      </c>
      <c r="AP15" s="189" t="e">
        <f t="shared" si="59"/>
        <v>#REF!</v>
      </c>
      <c r="AQ15" s="189" t="e">
        <f t="shared" si="135"/>
        <v>#REF!</v>
      </c>
      <c r="AR15" s="189" t="e">
        <f t="shared" si="60"/>
        <v>#REF!</v>
      </c>
      <c r="AS15" s="189" t="e">
        <f t="shared" si="9"/>
        <v>#REF!</v>
      </c>
      <c r="AT15" s="213" t="e">
        <f t="shared" si="61"/>
        <v>#REF!</v>
      </c>
      <c r="AU15" s="173" t="e">
        <f t="shared" si="62"/>
        <v>#REF!</v>
      </c>
      <c r="AV15" s="189"/>
      <c r="AW15" s="189">
        <f>VLOOKUP($B15,'Average RAS salary'!$A$5:$D$62,4,FALSE)</f>
        <v>61254.352947558764</v>
      </c>
      <c r="AX15" s="189" t="e">
        <f t="shared" si="10"/>
        <v>#REF!</v>
      </c>
      <c r="AY15" s="189">
        <v>51462.179839661316</v>
      </c>
      <c r="AZ15" s="189" t="e">
        <f t="shared" si="11"/>
        <v>#REF!</v>
      </c>
      <c r="BA15" s="189" t="e">
        <f t="shared" si="63"/>
        <v>#REF!</v>
      </c>
      <c r="BB15" s="189" t="e">
        <f t="shared" si="64"/>
        <v>#REF!</v>
      </c>
      <c r="BC15" s="189" t="e">
        <f t="shared" si="65"/>
        <v>#REF!</v>
      </c>
      <c r="BD15" s="213">
        <f t="shared" si="66"/>
        <v>-9792.1731078974481</v>
      </c>
      <c r="BE15" s="173">
        <f t="shared" si="67"/>
        <v>-0.15986085293041538</v>
      </c>
      <c r="BF15" s="189"/>
      <c r="BG15" s="189">
        <f>VLOOKUP($B15,'Average RAS salary'!$A$5:$D$62,4,FALSE)</f>
        <v>61254.352947558764</v>
      </c>
      <c r="BH15" s="189" t="e">
        <f t="shared" si="68"/>
        <v>#REF!</v>
      </c>
      <c r="BI15" s="189" t="e">
        <f>$BG$65*#REF!</f>
        <v>#REF!</v>
      </c>
      <c r="BJ15" s="189" t="e">
        <f t="shared" si="69"/>
        <v>#REF!</v>
      </c>
      <c r="BK15" s="189" t="e">
        <f t="shared" si="12"/>
        <v>#REF!</v>
      </c>
      <c r="BL15" s="189" t="e">
        <f t="shared" si="13"/>
        <v>#REF!</v>
      </c>
      <c r="BM15" s="189" t="e">
        <f t="shared" si="70"/>
        <v>#REF!</v>
      </c>
      <c r="BN15" s="213" t="e">
        <f t="shared" si="71"/>
        <v>#REF!</v>
      </c>
      <c r="BO15" s="173" t="e">
        <f t="shared" si="72"/>
        <v>#REF!</v>
      </c>
      <c r="BP15" s="189"/>
      <c r="BQ15" s="189">
        <f>VLOOKUP($B15,'Average RAS salary'!$A$5:$D$62,4,FALSE)</f>
        <v>61254.352947558764</v>
      </c>
      <c r="BR15" s="189" t="e">
        <f t="shared" si="73"/>
        <v>#REF!</v>
      </c>
      <c r="BS15" s="189" t="e">
        <f>VLOOKUP($B15,#REF!,19,FALSE)*$BQ$65</f>
        <v>#REF!</v>
      </c>
      <c r="BT15" s="189" t="e">
        <f t="shared" si="74"/>
        <v>#REF!</v>
      </c>
      <c r="BU15" s="189" t="e">
        <f t="shared" si="75"/>
        <v>#REF!</v>
      </c>
      <c r="BV15" s="189" t="e">
        <f t="shared" si="76"/>
        <v>#REF!</v>
      </c>
      <c r="BW15" s="189" t="e">
        <f t="shared" si="77"/>
        <v>#REF!</v>
      </c>
      <c r="BX15" s="213" t="e">
        <f t="shared" si="78"/>
        <v>#REF!</v>
      </c>
      <c r="BY15" s="173" t="e">
        <f t="shared" si="79"/>
        <v>#REF!</v>
      </c>
      <c r="BZ15" s="189"/>
      <c r="CA15" s="189">
        <f>VLOOKUP($B15,'Average RAS salary'!$A$5:$D$62,4,FALSE)</f>
        <v>61254.352947558764</v>
      </c>
      <c r="CB15" s="189" t="e">
        <f t="shared" si="80"/>
        <v>#REF!</v>
      </c>
      <c r="CC15" s="189" t="e">
        <f>IF(VLOOKUP($B15,#REF!,7,FALSE)&gt;VLOOKUP($B15,#REF!,19,FALSE)*$CA$65,VLOOKUP($B15,#REF!,19,FALSE)*$CA$65,VLOOKUP($B15,#REF!,7,FALSE))</f>
        <v>#REF!</v>
      </c>
      <c r="CD15" s="189" t="e">
        <f t="shared" si="81"/>
        <v>#REF!</v>
      </c>
      <c r="CE15" s="189" t="e">
        <f t="shared" si="82"/>
        <v>#REF!</v>
      </c>
      <c r="CF15" s="189" t="e">
        <f t="shared" si="83"/>
        <v>#REF!</v>
      </c>
      <c r="CG15" s="189" t="e">
        <f t="shared" si="84"/>
        <v>#REF!</v>
      </c>
      <c r="CH15" s="213" t="e">
        <f t="shared" si="85"/>
        <v>#REF!</v>
      </c>
      <c r="CI15" s="173" t="e">
        <f t="shared" si="86"/>
        <v>#REF!</v>
      </c>
      <c r="CJ15" s="189"/>
      <c r="CK15" s="189">
        <f>VLOOKUP($B15,'Average RAS salary'!$A$5:$D$62,4,FALSE)</f>
        <v>61254.352947558764</v>
      </c>
      <c r="CL15" s="189" t="e">
        <f t="shared" si="87"/>
        <v>#REF!</v>
      </c>
      <c r="CM15" s="189" t="e">
        <f>IF($AY15&gt;VLOOKUP($B15,#REF!,19,FALSE)*$CK$65,VLOOKUP($B15,#REF!,19,FALSE)*$CK$65,$AY15)</f>
        <v>#REF!</v>
      </c>
      <c r="CN15" s="189" t="e">
        <f t="shared" si="88"/>
        <v>#REF!</v>
      </c>
      <c r="CO15" s="189" t="e">
        <f t="shared" si="89"/>
        <v>#REF!</v>
      </c>
      <c r="CP15" s="189" t="e">
        <f t="shared" si="90"/>
        <v>#REF!</v>
      </c>
      <c r="CQ15" s="189" t="e">
        <f t="shared" si="91"/>
        <v>#REF!</v>
      </c>
      <c r="CR15" s="213" t="e">
        <f t="shared" si="92"/>
        <v>#REF!</v>
      </c>
      <c r="CS15" s="173" t="e">
        <f t="shared" si="93"/>
        <v>#REF!</v>
      </c>
      <c r="CT15" s="1"/>
      <c r="CU15" s="254">
        <v>0.23175000040965954</v>
      </c>
      <c r="CV15" s="252">
        <v>16189.220344262307</v>
      </c>
      <c r="CW15" s="254">
        <v>0.23174999987624381</v>
      </c>
      <c r="CX15" s="255">
        <v>14883.108260869563</v>
      </c>
      <c r="CY15" s="190" t="e">
        <f>VLOOKUP($B15,#REF!,13,FALSE)</f>
        <v>#REF!</v>
      </c>
      <c r="CZ15" s="172" t="e">
        <f>VLOOKUP($B15,#REF!,14,FALSE)</f>
        <v>#REF!</v>
      </c>
      <c r="DA15" s="190" t="e">
        <f>VLOOKUP($B15,#REF!,15,FALSE)</f>
        <v>#REF!</v>
      </c>
      <c r="DB15" s="189" t="e">
        <f>VLOOKUP($B15,#REF!,16,FALSE)</f>
        <v>#REF!</v>
      </c>
      <c r="DC15" s="190" t="e">
        <f t="shared" si="94"/>
        <v>#REF!</v>
      </c>
      <c r="DD15" s="190" t="e">
        <f t="shared" si="95"/>
        <v>#REF!</v>
      </c>
      <c r="DE15" s="190" t="e">
        <f t="shared" si="96"/>
        <v>#REF!</v>
      </c>
      <c r="DF15" s="190" t="e">
        <f t="shared" si="97"/>
        <v>#REF!</v>
      </c>
      <c r="DG15" s="1"/>
      <c r="DH15" s="253" t="s">
        <v>272</v>
      </c>
      <c r="DI15" s="253">
        <v>0</v>
      </c>
      <c r="DJ15" s="173">
        <f t="shared" si="98"/>
        <v>0</v>
      </c>
      <c r="DK15" s="172" t="e">
        <f>IF(VLOOKUP($B15,#REF!,6,FALSE)="Y","Yes","")</f>
        <v>#REF!</v>
      </c>
      <c r="DL15" s="172" t="e">
        <f>VLOOKUP($B15,#REF!,4,FALSE)</f>
        <v>#REF!</v>
      </c>
      <c r="DM15" s="173" t="e">
        <f t="shared" si="15"/>
        <v>#REF!</v>
      </c>
      <c r="DN15" s="1"/>
      <c r="DO15" s="172">
        <f t="shared" si="99"/>
        <v>8768397.8131050486</v>
      </c>
      <c r="DP15" s="252">
        <v>8489891.9068074338</v>
      </c>
      <c r="DQ15" s="172">
        <f t="shared" si="100"/>
        <v>-278505.9062976148</v>
      </c>
      <c r="DR15" s="173">
        <f t="shared" si="16"/>
        <v>-3.1762462451391769E-2</v>
      </c>
      <c r="DS15" s="172">
        <f t="shared" si="101"/>
        <v>8489891.9068074338</v>
      </c>
      <c r="DT15" s="252">
        <v>8632380.2902251035</v>
      </c>
      <c r="DU15" s="172">
        <f t="shared" si="102"/>
        <v>142488.38341766968</v>
      </c>
      <c r="DV15" s="173">
        <f t="shared" si="103"/>
        <v>1.6250218848956621E-2</v>
      </c>
      <c r="DW15" s="172">
        <f t="shared" si="104"/>
        <v>8632380.2902251035</v>
      </c>
      <c r="DX15" s="252">
        <v>8715659.8663526177</v>
      </c>
      <c r="DY15" s="172">
        <f t="shared" si="105"/>
        <v>83279.576127514243</v>
      </c>
      <c r="DZ15" s="173">
        <f t="shared" si="106"/>
        <v>9.4976959192073235E-3</v>
      </c>
      <c r="EA15" s="172">
        <f t="shared" si="107"/>
        <v>8715659.8663526177</v>
      </c>
      <c r="EB15" s="252">
        <v>8717336.300428208</v>
      </c>
      <c r="EC15" s="172">
        <f t="shared" si="108"/>
        <v>1676.4340755902231</v>
      </c>
      <c r="ED15" s="173">
        <f t="shared" si="109"/>
        <v>1.9119046732627286E-4</v>
      </c>
      <c r="EE15" s="172">
        <f t="shared" si="110"/>
        <v>8717336.300428208</v>
      </c>
      <c r="EF15" s="252">
        <v>8770953.0730121434</v>
      </c>
      <c r="EG15" s="172">
        <f t="shared" si="111"/>
        <v>53616.77258393541</v>
      </c>
      <c r="EH15" s="173">
        <f t="shared" si="112"/>
        <v>6.1147741841503815E-3</v>
      </c>
      <c r="EI15" s="172">
        <f t="shared" si="113"/>
        <v>8770953.0730121434</v>
      </c>
      <c r="EJ15" s="252">
        <v>8768397.8131050486</v>
      </c>
      <c r="EK15" s="172">
        <f t="shared" si="114"/>
        <v>-2555.2599070947617</v>
      </c>
      <c r="EL15" s="173">
        <f t="shared" si="115"/>
        <v>-2.9141696824883199E-4</v>
      </c>
      <c r="EM15" s="172">
        <f t="shared" si="116"/>
        <v>0</v>
      </c>
      <c r="EN15" s="173">
        <f t="shared" si="17"/>
        <v>0</v>
      </c>
      <c r="EO15" s="214"/>
      <c r="EP15" s="273">
        <v>4932481.7629540218</v>
      </c>
      <c r="EQ15" s="273">
        <v>4578993.03613069</v>
      </c>
      <c r="ER15" s="172">
        <f t="shared" si="117"/>
        <v>-353488.72682333179</v>
      </c>
      <c r="ES15" s="173">
        <f t="shared" si="18"/>
        <v>-7.1665490884984112E-2</v>
      </c>
      <c r="ET15" s="273">
        <v>2454945.3733827909</v>
      </c>
      <c r="EU15" s="273">
        <v>2277195.1508459183</v>
      </c>
      <c r="EV15" s="172">
        <f t="shared" si="118"/>
        <v>-177750.22253687261</v>
      </c>
      <c r="EW15" s="173">
        <f t="shared" si="19"/>
        <v>-7.2404960397119453E-2</v>
      </c>
      <c r="EX15" s="273">
        <v>1717172.6600000001</v>
      </c>
      <c r="EY15" s="273">
        <v>1591525.8800000001</v>
      </c>
      <c r="EZ15" s="172">
        <f t="shared" si="119"/>
        <v>-125646.78000000003</v>
      </c>
      <c r="FA15" s="173">
        <f t="shared" si="20"/>
        <v>-7.3170731707317083E-2</v>
      </c>
      <c r="FB15" s="172">
        <f t="shared" si="120"/>
        <v>4578993.03613069</v>
      </c>
      <c r="FC15" s="273">
        <v>4674221.5040498665</v>
      </c>
      <c r="FD15" s="172">
        <f t="shared" si="121"/>
        <v>95228.467919176444</v>
      </c>
      <c r="FE15" s="173">
        <f t="shared" si="21"/>
        <v>2.0796814314364139E-2</v>
      </c>
      <c r="FF15" s="172">
        <f t="shared" si="122"/>
        <v>2277195.1508459183</v>
      </c>
      <c r="FG15" s="273">
        <v>2299264.3483149428</v>
      </c>
      <c r="FH15" s="172">
        <f t="shared" si="123"/>
        <v>22069.197469024453</v>
      </c>
      <c r="FI15" s="173">
        <f t="shared" si="22"/>
        <v>9.6913948990389881E-3</v>
      </c>
      <c r="FJ15" s="172">
        <f t="shared" si="124"/>
        <v>4674221.5040498665</v>
      </c>
      <c r="FK15" s="273">
        <v>4819518.8464026302</v>
      </c>
      <c r="FL15" s="172">
        <f t="shared" si="125"/>
        <v>145297.34235276375</v>
      </c>
      <c r="FM15" s="173">
        <f t="shared" si="23"/>
        <v>3.1084821766977532E-2</v>
      </c>
      <c r="FN15" s="172">
        <f t="shared" si="126"/>
        <v>2299264.3483149428</v>
      </c>
      <c r="FO15" s="273">
        <v>2332937.0074519715</v>
      </c>
      <c r="FP15" s="172">
        <f t="shared" si="127"/>
        <v>33672.659137028735</v>
      </c>
      <c r="FQ15" s="173">
        <f t="shared" si="24"/>
        <v>1.4644970754105046E-2</v>
      </c>
      <c r="FR15" s="172">
        <f t="shared" si="128"/>
        <v>2332937.0074519715</v>
      </c>
      <c r="FS15" s="273">
        <v>2378938.8621367603</v>
      </c>
      <c r="FT15" s="172">
        <f t="shared" si="129"/>
        <v>46001.854684788734</v>
      </c>
      <c r="FU15" s="173">
        <f t="shared" si="25"/>
        <v>1.9718429832373336E-2</v>
      </c>
      <c r="FV15" s="172">
        <f t="shared" si="26"/>
        <v>1591525.8800000001</v>
      </c>
      <c r="FW15" s="273">
        <v>1729445.36</v>
      </c>
      <c r="FX15" s="172">
        <f t="shared" si="130"/>
        <v>137919.47999999998</v>
      </c>
      <c r="FY15" s="173">
        <f t="shared" si="27"/>
        <v>8.6658647360481483E-2</v>
      </c>
      <c r="FZ15" s="214"/>
      <c r="GA15" s="172">
        <f t="shared" si="28"/>
        <v>4932481.7629540218</v>
      </c>
      <c r="GB15" s="172">
        <f t="shared" si="29"/>
        <v>-353488.72682333179</v>
      </c>
      <c r="GC15" s="172">
        <f t="shared" si="30"/>
        <v>95228.467919176444</v>
      </c>
      <c r="GD15" s="172">
        <f t="shared" si="31"/>
        <v>145297.34235276375</v>
      </c>
      <c r="GE15" s="172">
        <f t="shared" si="32"/>
        <v>-112962.91655139159</v>
      </c>
      <c r="GF15" s="172">
        <f t="shared" si="33"/>
        <v>4819518.8464026302</v>
      </c>
      <c r="GG15" s="173">
        <f t="shared" si="34"/>
        <v>-2.2901841705693211E-2</v>
      </c>
      <c r="GH15" s="244"/>
      <c r="GI15" s="172">
        <f t="shared" si="35"/>
        <v>2454945.3733827909</v>
      </c>
      <c r="GJ15" s="172">
        <f t="shared" si="36"/>
        <v>-177750.22253687261</v>
      </c>
      <c r="GK15" s="172">
        <f t="shared" si="37"/>
        <v>22069.197469024453</v>
      </c>
      <c r="GL15" s="172">
        <f t="shared" si="38"/>
        <v>33672.659137028735</v>
      </c>
      <c r="GM15" s="172">
        <f t="shared" si="39"/>
        <v>46001.854684788734</v>
      </c>
      <c r="GN15" s="172">
        <f t="shared" si="40"/>
        <v>-76006.511246030685</v>
      </c>
      <c r="GO15" s="172">
        <f t="shared" si="41"/>
        <v>2378938.8621367603</v>
      </c>
      <c r="GP15" s="173">
        <f t="shared" si="42"/>
        <v>-3.0960571290145469E-2</v>
      </c>
      <c r="GQ15" s="214"/>
      <c r="GR15" s="172">
        <f t="shared" si="43"/>
        <v>1717172.6600000001</v>
      </c>
      <c r="GS15" s="172">
        <f t="shared" si="44"/>
        <v>-125646.78000000003</v>
      </c>
      <c r="GT15" s="172">
        <f t="shared" si="45"/>
        <v>137919.47999999998</v>
      </c>
      <c r="GU15" s="172">
        <f t="shared" si="131"/>
        <v>12272.699999999953</v>
      </c>
      <c r="GV15" s="172">
        <f t="shared" si="132"/>
        <v>1729445.36</v>
      </c>
      <c r="GW15" s="173">
        <f t="shared" si="133"/>
        <v>7.1470390170316088E-3</v>
      </c>
      <c r="GX15" s="214"/>
      <c r="GY15" s="273">
        <v>-336201.9832317644</v>
      </c>
      <c r="GZ15" s="172" t="e">
        <f t="shared" si="134"/>
        <v>#REF!</v>
      </c>
      <c r="HA15" s="172" t="e">
        <f>-VLOOKUP($B15,#REF!,23,FALSE)</f>
        <v>#REF!</v>
      </c>
    </row>
    <row r="16" spans="1:209" ht="15" customHeight="1" x14ac:dyDescent="0.45">
      <c r="A16" s="148">
        <v>3</v>
      </c>
      <c r="B16" s="212" t="s">
        <v>42</v>
      </c>
      <c r="C16" s="172">
        <v>34456224.07103245</v>
      </c>
      <c r="D16" s="173">
        <f t="shared" si="0"/>
        <v>2.3919827792554686E-2</v>
      </c>
      <c r="E16" s="1"/>
      <c r="F16" s="252">
        <v>68451783.512412369</v>
      </c>
      <c r="G16" s="173">
        <f t="shared" si="1"/>
        <v>2.9126924918133106E-2</v>
      </c>
      <c r="H16" s="173">
        <f t="shared" si="46"/>
        <v>1.2176895741364486</v>
      </c>
      <c r="I16" s="172" t="e">
        <f>VLOOKUP($B16,#REF!,24,FALSE)</f>
        <v>#REF!</v>
      </c>
      <c r="J16" s="173" t="e">
        <f t="shared" si="2"/>
        <v>#REF!</v>
      </c>
      <c r="K16" s="173" t="e">
        <f t="shared" si="47"/>
        <v>#REF!</v>
      </c>
      <c r="L16" s="172" t="e">
        <f t="shared" si="48"/>
        <v>#REF!</v>
      </c>
      <c r="M16" s="173" t="e">
        <f t="shared" si="49"/>
        <v>#REF!</v>
      </c>
      <c r="N16" s="173" t="e">
        <f t="shared" si="50"/>
        <v>#REF!</v>
      </c>
      <c r="O16" s="176"/>
      <c r="P16" s="253">
        <v>545</v>
      </c>
      <c r="Q16" s="173">
        <f t="shared" si="3"/>
        <v>3.0314829235732563E-2</v>
      </c>
      <c r="R16" s="172" t="e">
        <f>VLOOKUP($B16,#REF!,4,FALSE)</f>
        <v>#REF!</v>
      </c>
      <c r="S16" s="173" t="e">
        <f t="shared" si="4"/>
        <v>#REF!</v>
      </c>
      <c r="T16" s="172" t="e">
        <f t="shared" si="51"/>
        <v>#REF!</v>
      </c>
      <c r="U16" s="173" t="e">
        <f t="shared" si="52"/>
        <v>#REF!</v>
      </c>
      <c r="V16" s="173" t="e">
        <f t="shared" si="53"/>
        <v>#REF!</v>
      </c>
      <c r="W16" s="1"/>
      <c r="X16" s="189">
        <f>VLOOKUP($B16,'Average RAS salary'!$A$5:$D$62,4,FALSE)</f>
        <v>52326.639559156451</v>
      </c>
      <c r="Y16" s="253">
        <v>56850.167579937457</v>
      </c>
      <c r="Z16" s="252" t="s">
        <v>272</v>
      </c>
      <c r="AA16" s="252" t="s">
        <v>272</v>
      </c>
      <c r="AB16" s="173">
        <f t="shared" si="5"/>
        <v>0.97453168198997508</v>
      </c>
      <c r="AC16" s="172" t="e">
        <f>VLOOKUP($B16,#REF!,3,FALSE)</f>
        <v>#REF!</v>
      </c>
      <c r="AD16" s="172" t="e">
        <f>VLOOKUP($B16,#REF!,5,FALSE)</f>
        <v>#REF!</v>
      </c>
      <c r="AE16" s="172" t="e">
        <f>VLOOKUP($B16,#REF!,6,FALSE)</f>
        <v>#REF!</v>
      </c>
      <c r="AF16" s="173" t="e">
        <f t="shared" si="6"/>
        <v>#REF!</v>
      </c>
      <c r="AG16" s="172" t="e">
        <f t="shared" si="54"/>
        <v>#REF!</v>
      </c>
      <c r="AH16" s="173" t="e">
        <f t="shared" si="7"/>
        <v>#REF!</v>
      </c>
      <c r="AI16" s="173" t="e">
        <f t="shared" si="8"/>
        <v>#REF!</v>
      </c>
      <c r="AJ16" s="189">
        <v>52919.517163993565</v>
      </c>
      <c r="AK16" s="189">
        <f>VLOOKUP($B16,'Average RAS salary'!$A$5:$D$62,4,FALSE)</f>
        <v>52326.639559156451</v>
      </c>
      <c r="AL16" s="189">
        <f t="shared" si="55"/>
        <v>-592.87760483711463</v>
      </c>
      <c r="AM16" s="173">
        <f t="shared" si="56"/>
        <v>-1.1203382733062964E-2</v>
      </c>
      <c r="AN16" s="189" t="e">
        <f t="shared" si="57"/>
        <v>#REF!</v>
      </c>
      <c r="AO16" s="189" t="e">
        <f t="shared" si="58"/>
        <v>#REF!</v>
      </c>
      <c r="AP16" s="189" t="e">
        <f t="shared" si="59"/>
        <v>#REF!</v>
      </c>
      <c r="AQ16" s="189" t="e">
        <f t="shared" si="135"/>
        <v>#REF!</v>
      </c>
      <c r="AR16" s="189" t="e">
        <f t="shared" si="60"/>
        <v>#REF!</v>
      </c>
      <c r="AS16" s="189" t="e">
        <f t="shared" si="9"/>
        <v>#REF!</v>
      </c>
      <c r="AT16" s="213" t="e">
        <f t="shared" si="61"/>
        <v>#REF!</v>
      </c>
      <c r="AU16" s="173" t="e">
        <f t="shared" si="62"/>
        <v>#REF!</v>
      </c>
      <c r="AV16" s="189"/>
      <c r="AW16" s="189">
        <f>VLOOKUP($B16,'Average RAS salary'!$A$5:$D$62,4,FALSE)</f>
        <v>52326.639559156451</v>
      </c>
      <c r="AX16" s="189" t="e">
        <f t="shared" si="10"/>
        <v>#REF!</v>
      </c>
      <c r="AY16" s="189">
        <v>51095.949507301564</v>
      </c>
      <c r="AZ16" s="189" t="e">
        <f t="shared" si="11"/>
        <v>#REF!</v>
      </c>
      <c r="BA16" s="189" t="e">
        <f t="shared" si="63"/>
        <v>#REF!</v>
      </c>
      <c r="BB16" s="189" t="e">
        <f t="shared" si="64"/>
        <v>#REF!</v>
      </c>
      <c r="BC16" s="189" t="e">
        <f t="shared" si="65"/>
        <v>#REF!</v>
      </c>
      <c r="BD16" s="213">
        <f t="shared" si="66"/>
        <v>-1230.6900518548864</v>
      </c>
      <c r="BE16" s="173">
        <f t="shared" si="67"/>
        <v>-2.3519378699325102E-2</v>
      </c>
      <c r="BF16" s="189"/>
      <c r="BG16" s="189">
        <f>VLOOKUP($B16,'Average RAS salary'!$A$5:$D$62,4,FALSE)</f>
        <v>52326.639559156451</v>
      </c>
      <c r="BH16" s="189" t="e">
        <f t="shared" si="68"/>
        <v>#REF!</v>
      </c>
      <c r="BI16" s="189" t="e">
        <f>$BG$65*#REF!</f>
        <v>#REF!</v>
      </c>
      <c r="BJ16" s="189" t="e">
        <f t="shared" si="69"/>
        <v>#REF!</v>
      </c>
      <c r="BK16" s="189" t="e">
        <f t="shared" si="12"/>
        <v>#REF!</v>
      </c>
      <c r="BL16" s="189" t="e">
        <f t="shared" si="13"/>
        <v>#REF!</v>
      </c>
      <c r="BM16" s="189" t="e">
        <f t="shared" si="70"/>
        <v>#REF!</v>
      </c>
      <c r="BN16" s="213" t="e">
        <f t="shared" si="71"/>
        <v>#REF!</v>
      </c>
      <c r="BO16" s="173" t="e">
        <f t="shared" si="72"/>
        <v>#REF!</v>
      </c>
      <c r="BP16" s="189"/>
      <c r="BQ16" s="189">
        <f>VLOOKUP($B16,'Average RAS salary'!$A$5:$D$62,4,FALSE)</f>
        <v>52326.639559156451</v>
      </c>
      <c r="BR16" s="189" t="e">
        <f t="shared" si="73"/>
        <v>#REF!</v>
      </c>
      <c r="BS16" s="189" t="e">
        <f>VLOOKUP($B16,#REF!,19,FALSE)*$BQ$65</f>
        <v>#REF!</v>
      </c>
      <c r="BT16" s="189" t="e">
        <f t="shared" si="74"/>
        <v>#REF!</v>
      </c>
      <c r="BU16" s="189" t="e">
        <f t="shared" si="75"/>
        <v>#REF!</v>
      </c>
      <c r="BV16" s="189" t="e">
        <f t="shared" si="76"/>
        <v>#REF!</v>
      </c>
      <c r="BW16" s="189" t="e">
        <f t="shared" si="77"/>
        <v>#REF!</v>
      </c>
      <c r="BX16" s="213" t="e">
        <f t="shared" si="78"/>
        <v>#REF!</v>
      </c>
      <c r="BY16" s="173" t="e">
        <f t="shared" si="79"/>
        <v>#REF!</v>
      </c>
      <c r="BZ16" s="189"/>
      <c r="CA16" s="189">
        <f>VLOOKUP($B16,'Average RAS salary'!$A$5:$D$62,4,FALSE)</f>
        <v>52326.639559156451</v>
      </c>
      <c r="CB16" s="189" t="e">
        <f t="shared" si="80"/>
        <v>#REF!</v>
      </c>
      <c r="CC16" s="189" t="e">
        <f>IF(VLOOKUP($B16,#REF!,7,FALSE)&gt;VLOOKUP($B16,#REF!,19,FALSE)*$CA$65,VLOOKUP($B16,#REF!,19,FALSE)*$CA$65,VLOOKUP($B16,#REF!,7,FALSE))</f>
        <v>#REF!</v>
      </c>
      <c r="CD16" s="189" t="e">
        <f t="shared" si="81"/>
        <v>#REF!</v>
      </c>
      <c r="CE16" s="189" t="e">
        <f t="shared" si="82"/>
        <v>#REF!</v>
      </c>
      <c r="CF16" s="189" t="e">
        <f t="shared" si="83"/>
        <v>#REF!</v>
      </c>
      <c r="CG16" s="189" t="e">
        <f t="shared" si="84"/>
        <v>#REF!</v>
      </c>
      <c r="CH16" s="213" t="e">
        <f t="shared" si="85"/>
        <v>#REF!</v>
      </c>
      <c r="CI16" s="173" t="e">
        <f t="shared" si="86"/>
        <v>#REF!</v>
      </c>
      <c r="CJ16" s="189"/>
      <c r="CK16" s="189">
        <f>VLOOKUP($B16,'Average RAS salary'!$A$5:$D$62,4,FALSE)</f>
        <v>52326.639559156451</v>
      </c>
      <c r="CL16" s="189" t="e">
        <f t="shared" si="87"/>
        <v>#REF!</v>
      </c>
      <c r="CM16" s="189" t="e">
        <f>IF($AY16&gt;VLOOKUP($B16,#REF!,19,FALSE)*$CK$65,VLOOKUP($B16,#REF!,19,FALSE)*$CK$65,$AY16)</f>
        <v>#REF!</v>
      </c>
      <c r="CN16" s="189" t="e">
        <f t="shared" si="88"/>
        <v>#REF!</v>
      </c>
      <c r="CO16" s="189" t="e">
        <f t="shared" si="89"/>
        <v>#REF!</v>
      </c>
      <c r="CP16" s="189" t="e">
        <f t="shared" si="90"/>
        <v>#REF!</v>
      </c>
      <c r="CQ16" s="189" t="e">
        <f t="shared" si="91"/>
        <v>#REF!</v>
      </c>
      <c r="CR16" s="213" t="e">
        <f t="shared" si="92"/>
        <v>#REF!</v>
      </c>
      <c r="CS16" s="173" t="e">
        <f t="shared" si="93"/>
        <v>#REF!</v>
      </c>
      <c r="CT16" s="1"/>
      <c r="CU16" s="254">
        <v>0.68834303426167154</v>
      </c>
      <c r="CV16" s="252">
        <v>11216.688528312117</v>
      </c>
      <c r="CW16" s="254">
        <v>0.6964333474359613</v>
      </c>
      <c r="CX16" s="255">
        <v>10872.037322834638</v>
      </c>
      <c r="CY16" s="190" t="e">
        <f>VLOOKUP($B16,#REF!,13,FALSE)</f>
        <v>#REF!</v>
      </c>
      <c r="CZ16" s="172" t="e">
        <f>VLOOKUP($B16,#REF!,14,FALSE)</f>
        <v>#REF!</v>
      </c>
      <c r="DA16" s="190" t="e">
        <f>VLOOKUP($B16,#REF!,15,FALSE)</f>
        <v>#REF!</v>
      </c>
      <c r="DB16" s="189" t="e">
        <f>VLOOKUP($B16,#REF!,16,FALSE)</f>
        <v>#REF!</v>
      </c>
      <c r="DC16" s="190" t="e">
        <f t="shared" si="94"/>
        <v>#REF!</v>
      </c>
      <c r="DD16" s="190" t="e">
        <f t="shared" si="95"/>
        <v>#REF!</v>
      </c>
      <c r="DE16" s="190" t="e">
        <f t="shared" si="96"/>
        <v>#REF!</v>
      </c>
      <c r="DF16" s="190" t="e">
        <f t="shared" si="97"/>
        <v>#REF!</v>
      </c>
      <c r="DG16" s="1"/>
      <c r="DH16" s="253" t="s">
        <v>272</v>
      </c>
      <c r="DI16" s="253">
        <v>0</v>
      </c>
      <c r="DJ16" s="173">
        <f t="shared" si="98"/>
        <v>0</v>
      </c>
      <c r="DK16" s="172" t="e">
        <f>IF(VLOOKUP($B16,#REF!,6,FALSE)="Y","Yes","")</f>
        <v>#REF!</v>
      </c>
      <c r="DL16" s="172" t="e">
        <f>VLOOKUP($B16,#REF!,4,FALSE)</f>
        <v>#REF!</v>
      </c>
      <c r="DM16" s="173" t="e">
        <f t="shared" si="15"/>
        <v>#REF!</v>
      </c>
      <c r="DN16" s="1"/>
      <c r="DO16" s="172">
        <f t="shared" si="99"/>
        <v>68451783.512412369</v>
      </c>
      <c r="DP16" s="252">
        <v>66574548.35388276</v>
      </c>
      <c r="DQ16" s="172">
        <f t="shared" si="100"/>
        <v>-1877235.1585296094</v>
      </c>
      <c r="DR16" s="173">
        <f t="shared" si="16"/>
        <v>-2.7424196451933357E-2</v>
      </c>
      <c r="DS16" s="172">
        <f t="shared" si="101"/>
        <v>66574548.35388276</v>
      </c>
      <c r="DT16" s="252">
        <v>67913556.517828718</v>
      </c>
      <c r="DU16" s="172">
        <f t="shared" si="102"/>
        <v>1339008.163945958</v>
      </c>
      <c r="DV16" s="173">
        <f t="shared" si="103"/>
        <v>1.9561333470634195E-2</v>
      </c>
      <c r="DW16" s="172">
        <f t="shared" si="104"/>
        <v>67913556.517828718</v>
      </c>
      <c r="DX16" s="252">
        <v>67149036.825166509</v>
      </c>
      <c r="DY16" s="172">
        <f t="shared" si="105"/>
        <v>-764519.69266220927</v>
      </c>
      <c r="DZ16" s="173">
        <f t="shared" si="106"/>
        <v>-1.116873298887207E-2</v>
      </c>
      <c r="EA16" s="172">
        <f t="shared" si="107"/>
        <v>67149036.825166509</v>
      </c>
      <c r="EB16" s="252">
        <v>68054587.765219495</v>
      </c>
      <c r="EC16" s="172">
        <f t="shared" si="108"/>
        <v>905550.94005298615</v>
      </c>
      <c r="ED16" s="173">
        <f t="shared" si="109"/>
        <v>1.3229033541380006E-2</v>
      </c>
      <c r="EE16" s="172">
        <f t="shared" si="110"/>
        <v>68054587.765219495</v>
      </c>
      <c r="EF16" s="252">
        <v>68410943.143978551</v>
      </c>
      <c r="EG16" s="172">
        <f t="shared" si="111"/>
        <v>356355.37875905633</v>
      </c>
      <c r="EH16" s="173">
        <f t="shared" si="112"/>
        <v>5.2059327087429124E-3</v>
      </c>
      <c r="EI16" s="172">
        <f t="shared" si="113"/>
        <v>68410943.143978551</v>
      </c>
      <c r="EJ16" s="252">
        <v>68451783.512412369</v>
      </c>
      <c r="EK16" s="172">
        <f t="shared" si="114"/>
        <v>40840.368433818221</v>
      </c>
      <c r="EL16" s="173">
        <f t="shared" si="115"/>
        <v>5.9662972004831155E-4</v>
      </c>
      <c r="EM16" s="172">
        <f t="shared" si="116"/>
        <v>0</v>
      </c>
      <c r="EN16" s="173">
        <f t="shared" si="17"/>
        <v>0</v>
      </c>
      <c r="EO16" s="214"/>
      <c r="EP16" s="273">
        <v>31113088.052197129</v>
      </c>
      <c r="EQ16" s="273">
        <v>30317185.706078004</v>
      </c>
      <c r="ER16" s="172">
        <f t="shared" si="117"/>
        <v>-795902.34611912444</v>
      </c>
      <c r="ES16" s="173">
        <f t="shared" si="18"/>
        <v>-2.5580949881409146E-2</v>
      </c>
      <c r="ET16" s="273">
        <v>27539153.424252201</v>
      </c>
      <c r="EU16" s="273">
        <v>26834035.380043693</v>
      </c>
      <c r="EV16" s="172">
        <f t="shared" si="118"/>
        <v>-705118.04420850798</v>
      </c>
      <c r="EW16" s="173">
        <f t="shared" si="19"/>
        <v>-2.5604201891970643E-2</v>
      </c>
      <c r="EX16" s="273">
        <v>11412915.85</v>
      </c>
      <c r="EY16" s="273">
        <v>11119740.030000001</v>
      </c>
      <c r="EZ16" s="172">
        <f t="shared" si="119"/>
        <v>-293175.81999999844</v>
      </c>
      <c r="FA16" s="173">
        <f t="shared" si="20"/>
        <v>-2.5688073394495275E-2</v>
      </c>
      <c r="FB16" s="172">
        <f t="shared" si="120"/>
        <v>30317185.706078004</v>
      </c>
      <c r="FC16" s="273">
        <v>30921184.12670568</v>
      </c>
      <c r="FD16" s="172">
        <f t="shared" si="121"/>
        <v>603998.42062767595</v>
      </c>
      <c r="FE16" s="173">
        <f t="shared" si="21"/>
        <v>1.9922641451069322E-2</v>
      </c>
      <c r="FF16" s="172">
        <f t="shared" si="122"/>
        <v>26834035.380043693</v>
      </c>
      <c r="FG16" s="273">
        <v>27250490.229991224</v>
      </c>
      <c r="FH16" s="172">
        <f t="shared" si="123"/>
        <v>416454.84994753078</v>
      </c>
      <c r="FI16" s="173">
        <f t="shared" si="22"/>
        <v>1.5519650475576465E-2</v>
      </c>
      <c r="FJ16" s="172">
        <f t="shared" si="124"/>
        <v>30921184.12670568</v>
      </c>
      <c r="FK16" s="273">
        <v>30972666.503564548</v>
      </c>
      <c r="FL16" s="172">
        <f t="shared" si="125"/>
        <v>51482.376858867705</v>
      </c>
      <c r="FM16" s="173">
        <f t="shared" si="23"/>
        <v>1.664954894609096E-3</v>
      </c>
      <c r="FN16" s="172">
        <f t="shared" si="126"/>
        <v>27250490.229991224</v>
      </c>
      <c r="FO16" s="273">
        <v>27285985.808819655</v>
      </c>
      <c r="FP16" s="172">
        <f t="shared" si="127"/>
        <v>35495.578828431666</v>
      </c>
      <c r="FQ16" s="173">
        <f t="shared" si="24"/>
        <v>1.3025666154572919E-3</v>
      </c>
      <c r="FR16" s="172">
        <f t="shared" si="128"/>
        <v>27285985.808819655</v>
      </c>
      <c r="FS16" s="273">
        <v>23982765.807268418</v>
      </c>
      <c r="FT16" s="172">
        <f t="shared" si="129"/>
        <v>-3303220.001551237</v>
      </c>
      <c r="FU16" s="173">
        <f t="shared" si="25"/>
        <v>-0.12105921423163449</v>
      </c>
      <c r="FV16" s="172">
        <f t="shared" si="26"/>
        <v>11119740.030000001</v>
      </c>
      <c r="FW16" s="273">
        <v>12083361.66</v>
      </c>
      <c r="FX16" s="172">
        <f t="shared" si="130"/>
        <v>963621.62999999896</v>
      </c>
      <c r="FY16" s="173">
        <f t="shared" si="27"/>
        <v>8.66586473604814E-2</v>
      </c>
      <c r="FZ16" s="214"/>
      <c r="GA16" s="172">
        <f t="shared" si="28"/>
        <v>31113088.052197129</v>
      </c>
      <c r="GB16" s="172">
        <f t="shared" si="29"/>
        <v>-795902.34611912444</v>
      </c>
      <c r="GC16" s="172">
        <f t="shared" si="30"/>
        <v>603998.42062767595</v>
      </c>
      <c r="GD16" s="172">
        <f t="shared" si="31"/>
        <v>51482.376858867705</v>
      </c>
      <c r="GE16" s="172">
        <f t="shared" si="32"/>
        <v>-140421.54863258079</v>
      </c>
      <c r="GF16" s="172">
        <f t="shared" si="33"/>
        <v>30972666.503564548</v>
      </c>
      <c r="GG16" s="173">
        <f t="shared" si="34"/>
        <v>-4.5132629842785585E-3</v>
      </c>
      <c r="GH16" s="244"/>
      <c r="GI16" s="172">
        <f t="shared" si="35"/>
        <v>27539153.424252201</v>
      </c>
      <c r="GJ16" s="172">
        <f t="shared" si="36"/>
        <v>-705118.04420850798</v>
      </c>
      <c r="GK16" s="172">
        <f t="shared" si="37"/>
        <v>416454.84994753078</v>
      </c>
      <c r="GL16" s="172">
        <f t="shared" si="38"/>
        <v>35495.578828431666</v>
      </c>
      <c r="GM16" s="172">
        <f t="shared" si="39"/>
        <v>-3303220.001551237</v>
      </c>
      <c r="GN16" s="172">
        <f t="shared" si="40"/>
        <v>-3556387.6169837825</v>
      </c>
      <c r="GO16" s="172">
        <f t="shared" si="41"/>
        <v>23982765.807268418</v>
      </c>
      <c r="GP16" s="173">
        <f t="shared" si="42"/>
        <v>-0.12913932255636695</v>
      </c>
      <c r="GQ16" s="214"/>
      <c r="GR16" s="172">
        <f t="shared" si="43"/>
        <v>11412915.85</v>
      </c>
      <c r="GS16" s="172">
        <f t="shared" si="44"/>
        <v>-293175.81999999844</v>
      </c>
      <c r="GT16" s="172">
        <f t="shared" si="45"/>
        <v>963621.62999999896</v>
      </c>
      <c r="GU16" s="172">
        <f t="shared" si="131"/>
        <v>670445.81000000052</v>
      </c>
      <c r="GV16" s="172">
        <f t="shared" si="132"/>
        <v>12083361.66</v>
      </c>
      <c r="GW16" s="173">
        <f t="shared" si="133"/>
        <v>5.8744480272322389E-2</v>
      </c>
      <c r="GX16" s="214"/>
      <c r="GY16" s="273">
        <v>-1613373.8140369465</v>
      </c>
      <c r="GZ16" s="172" t="e">
        <f t="shared" si="134"/>
        <v>#REF!</v>
      </c>
      <c r="HA16" s="172" t="e">
        <f>-VLOOKUP($B16,#REF!,23,FALSE)</f>
        <v>#REF!</v>
      </c>
    </row>
    <row r="17" spans="1:209" ht="15" customHeight="1" x14ac:dyDescent="0.45">
      <c r="A17" s="148">
        <v>1</v>
      </c>
      <c r="B17" s="215" t="s">
        <v>9</v>
      </c>
      <c r="C17" s="172">
        <v>1811706.7602923557</v>
      </c>
      <c r="D17" s="173">
        <f t="shared" si="0"/>
        <v>1.2577035030728423E-3</v>
      </c>
      <c r="E17" s="1"/>
      <c r="F17" s="252">
        <v>1918338.5169829738</v>
      </c>
      <c r="G17" s="173">
        <f t="shared" si="1"/>
        <v>8.1627240496361965E-4</v>
      </c>
      <c r="H17" s="173">
        <f t="shared" si="46"/>
        <v>0.64901815330027246</v>
      </c>
      <c r="I17" s="172" t="e">
        <f>VLOOKUP($B17,#REF!,24,FALSE)</f>
        <v>#REF!</v>
      </c>
      <c r="J17" s="173" t="e">
        <f t="shared" si="2"/>
        <v>#REF!</v>
      </c>
      <c r="K17" s="173" t="e">
        <f t="shared" si="47"/>
        <v>#REF!</v>
      </c>
      <c r="L17" s="172" t="e">
        <f t="shared" si="48"/>
        <v>#REF!</v>
      </c>
      <c r="M17" s="173" t="e">
        <f t="shared" si="49"/>
        <v>#REF!</v>
      </c>
      <c r="N17" s="173" t="e">
        <f t="shared" si="50"/>
        <v>#REF!</v>
      </c>
      <c r="O17" s="176"/>
      <c r="P17" s="253">
        <v>20</v>
      </c>
      <c r="Q17" s="173">
        <f t="shared" si="3"/>
        <v>1.1124707976415619E-3</v>
      </c>
      <c r="R17" s="172" t="e">
        <f>VLOOKUP($B17,#REF!,4,FALSE)</f>
        <v>#REF!</v>
      </c>
      <c r="S17" s="173" t="e">
        <f t="shared" si="4"/>
        <v>#REF!</v>
      </c>
      <c r="T17" s="172" t="e">
        <f t="shared" si="51"/>
        <v>#REF!</v>
      </c>
      <c r="U17" s="173" t="e">
        <f t="shared" si="52"/>
        <v>#REF!</v>
      </c>
      <c r="V17" s="173" t="e">
        <f t="shared" si="53"/>
        <v>#REF!</v>
      </c>
      <c r="W17" s="1"/>
      <c r="X17" s="189">
        <f>VLOOKUP($B17,'Average RAS salary'!$A$5:$D$62,4,FALSE)</f>
        <v>54461.658281250013</v>
      </c>
      <c r="Y17" s="253">
        <v>39704.256245166107</v>
      </c>
      <c r="Z17" s="252" t="s">
        <v>273</v>
      </c>
      <c r="AA17" s="252" t="s">
        <v>273</v>
      </c>
      <c r="AB17" s="173">
        <f t="shared" si="5"/>
        <v>0.68061462732464406</v>
      </c>
      <c r="AC17" s="172" t="e">
        <f>VLOOKUP($B17,#REF!,3,FALSE)</f>
        <v>#REF!</v>
      </c>
      <c r="AD17" s="172" t="e">
        <f>VLOOKUP($B17,#REF!,5,FALSE)</f>
        <v>#REF!</v>
      </c>
      <c r="AE17" s="172" t="e">
        <f>VLOOKUP($B17,#REF!,6,FALSE)</f>
        <v>#REF!</v>
      </c>
      <c r="AF17" s="173" t="e">
        <f t="shared" si="6"/>
        <v>#REF!</v>
      </c>
      <c r="AG17" s="172" t="e">
        <f t="shared" si="54"/>
        <v>#REF!</v>
      </c>
      <c r="AH17" s="173" t="e">
        <f t="shared" si="7"/>
        <v>#REF!</v>
      </c>
      <c r="AI17" s="173" t="e">
        <f t="shared" si="8"/>
        <v>#REF!</v>
      </c>
      <c r="AJ17" s="189">
        <v>48296.734520547958</v>
      </c>
      <c r="AK17" s="189">
        <f>VLOOKUP($B17,'Average RAS salary'!$A$5:$D$62,4,FALSE)</f>
        <v>54461.658281250013</v>
      </c>
      <c r="AL17" s="189">
        <f t="shared" si="55"/>
        <v>6164.923760702055</v>
      </c>
      <c r="AM17" s="173">
        <f t="shared" si="56"/>
        <v>0.1276468030789778</v>
      </c>
      <c r="AN17" s="189" t="e">
        <f t="shared" si="57"/>
        <v>#REF!</v>
      </c>
      <c r="AO17" s="189" t="e">
        <f t="shared" si="58"/>
        <v>#REF!</v>
      </c>
      <c r="AP17" s="189" t="e">
        <f t="shared" si="59"/>
        <v>#REF!</v>
      </c>
      <c r="AQ17" s="189" t="e">
        <f t="shared" si="135"/>
        <v>#REF!</v>
      </c>
      <c r="AR17" s="189" t="e">
        <f t="shared" si="60"/>
        <v>#REF!</v>
      </c>
      <c r="AS17" s="189" t="e">
        <f t="shared" si="9"/>
        <v>#REF!</v>
      </c>
      <c r="AT17" s="213" t="e">
        <f t="shared" si="61"/>
        <v>#REF!</v>
      </c>
      <c r="AU17" s="173" t="e">
        <f t="shared" si="62"/>
        <v>#REF!</v>
      </c>
      <c r="AV17" s="189"/>
      <c r="AW17" s="189">
        <f>VLOOKUP($B17,'Average RAS salary'!$A$5:$D$62,4,FALSE)</f>
        <v>54461.658281250013</v>
      </c>
      <c r="AX17" s="189" t="e">
        <f t="shared" si="10"/>
        <v>#REF!</v>
      </c>
      <c r="AY17" s="189">
        <v>39865.262959708809</v>
      </c>
      <c r="AZ17" s="189" t="e">
        <f t="shared" si="11"/>
        <v>#REF!</v>
      </c>
      <c r="BA17" s="189" t="e">
        <f t="shared" si="63"/>
        <v>#REF!</v>
      </c>
      <c r="BB17" s="189" t="e">
        <f t="shared" si="64"/>
        <v>#REF!</v>
      </c>
      <c r="BC17" s="189" t="e">
        <f t="shared" si="65"/>
        <v>#REF!</v>
      </c>
      <c r="BD17" s="213">
        <f t="shared" si="66"/>
        <v>-14596.395321541204</v>
      </c>
      <c r="BE17" s="173">
        <f t="shared" si="67"/>
        <v>-0.26801231879798326</v>
      </c>
      <c r="BF17" s="189"/>
      <c r="BG17" s="189">
        <f>VLOOKUP($B17,'Average RAS salary'!$A$5:$D$62,4,FALSE)</f>
        <v>54461.658281250013</v>
      </c>
      <c r="BH17" s="189" t="e">
        <f t="shared" si="68"/>
        <v>#REF!</v>
      </c>
      <c r="BI17" s="189" t="e">
        <f>$BG$65*#REF!</f>
        <v>#REF!</v>
      </c>
      <c r="BJ17" s="189" t="e">
        <f t="shared" si="69"/>
        <v>#REF!</v>
      </c>
      <c r="BK17" s="189" t="e">
        <f t="shared" si="12"/>
        <v>#REF!</v>
      </c>
      <c r="BL17" s="189" t="e">
        <f t="shared" si="13"/>
        <v>#REF!</v>
      </c>
      <c r="BM17" s="189" t="e">
        <f t="shared" si="70"/>
        <v>#REF!</v>
      </c>
      <c r="BN17" s="213" t="e">
        <f t="shared" si="71"/>
        <v>#REF!</v>
      </c>
      <c r="BO17" s="173" t="e">
        <f t="shared" si="72"/>
        <v>#REF!</v>
      </c>
      <c r="BP17" s="189"/>
      <c r="BQ17" s="189">
        <f>VLOOKUP($B17,'Average RAS salary'!$A$5:$D$62,4,FALSE)</f>
        <v>54461.658281250013</v>
      </c>
      <c r="BR17" s="189" t="e">
        <f t="shared" si="73"/>
        <v>#REF!</v>
      </c>
      <c r="BS17" s="189" t="e">
        <f>VLOOKUP($B17,#REF!,19,FALSE)*$BQ$65</f>
        <v>#REF!</v>
      </c>
      <c r="BT17" s="189" t="e">
        <f t="shared" si="74"/>
        <v>#REF!</v>
      </c>
      <c r="BU17" s="189" t="e">
        <f t="shared" si="75"/>
        <v>#REF!</v>
      </c>
      <c r="BV17" s="189" t="e">
        <f t="shared" si="76"/>
        <v>#REF!</v>
      </c>
      <c r="BW17" s="189" t="e">
        <f t="shared" si="77"/>
        <v>#REF!</v>
      </c>
      <c r="BX17" s="213" t="e">
        <f t="shared" si="78"/>
        <v>#REF!</v>
      </c>
      <c r="BY17" s="173" t="e">
        <f t="shared" si="79"/>
        <v>#REF!</v>
      </c>
      <c r="BZ17" s="189"/>
      <c r="CA17" s="189">
        <f>VLOOKUP($B17,'Average RAS salary'!$A$5:$D$62,4,FALSE)</f>
        <v>54461.658281250013</v>
      </c>
      <c r="CB17" s="189" t="e">
        <f t="shared" si="80"/>
        <v>#REF!</v>
      </c>
      <c r="CC17" s="189" t="e">
        <f>IF(VLOOKUP($B17,#REF!,7,FALSE)&gt;VLOOKUP($B17,#REF!,19,FALSE)*$CA$65,VLOOKUP($B17,#REF!,19,FALSE)*$CA$65,VLOOKUP($B17,#REF!,7,FALSE))</f>
        <v>#REF!</v>
      </c>
      <c r="CD17" s="189" t="e">
        <f t="shared" si="81"/>
        <v>#REF!</v>
      </c>
      <c r="CE17" s="189" t="e">
        <f t="shared" si="82"/>
        <v>#REF!</v>
      </c>
      <c r="CF17" s="189" t="e">
        <f t="shared" si="83"/>
        <v>#REF!</v>
      </c>
      <c r="CG17" s="189" t="e">
        <f t="shared" si="84"/>
        <v>#REF!</v>
      </c>
      <c r="CH17" s="213" t="e">
        <f t="shared" si="85"/>
        <v>#REF!</v>
      </c>
      <c r="CI17" s="173" t="e">
        <f t="shared" si="86"/>
        <v>#REF!</v>
      </c>
      <c r="CJ17" s="189"/>
      <c r="CK17" s="189">
        <f>VLOOKUP($B17,'Average RAS salary'!$A$5:$D$62,4,FALSE)</f>
        <v>54461.658281250013</v>
      </c>
      <c r="CL17" s="189" t="e">
        <f t="shared" si="87"/>
        <v>#REF!</v>
      </c>
      <c r="CM17" s="189" t="e">
        <f>IF($AY17&gt;VLOOKUP($B17,#REF!,19,FALSE)*$CK$65,VLOOKUP($B17,#REF!,19,FALSE)*$CK$65,$AY17)</f>
        <v>#REF!</v>
      </c>
      <c r="CN17" s="189" t="e">
        <f t="shared" si="88"/>
        <v>#REF!</v>
      </c>
      <c r="CO17" s="189" t="e">
        <f t="shared" si="89"/>
        <v>#REF!</v>
      </c>
      <c r="CP17" s="189" t="e">
        <f t="shared" si="90"/>
        <v>#REF!</v>
      </c>
      <c r="CQ17" s="189" t="e">
        <f t="shared" si="91"/>
        <v>#REF!</v>
      </c>
      <c r="CR17" s="213" t="e">
        <f t="shared" si="92"/>
        <v>#REF!</v>
      </c>
      <c r="CS17" s="173" t="e">
        <f t="shared" si="93"/>
        <v>#REF!</v>
      </c>
      <c r="CT17" s="1"/>
      <c r="CU17" s="254">
        <v>0.28640723522523848</v>
      </c>
      <c r="CV17" s="252">
        <v>12924.140434782608</v>
      </c>
      <c r="CW17" s="254">
        <v>0.32318354487614254</v>
      </c>
      <c r="CX17" s="255">
        <v>21730.17962025317</v>
      </c>
      <c r="CY17" s="190" t="e">
        <f>VLOOKUP($B17,#REF!,13,FALSE)</f>
        <v>#REF!</v>
      </c>
      <c r="CZ17" s="172" t="e">
        <f>VLOOKUP($B17,#REF!,14,FALSE)</f>
        <v>#REF!</v>
      </c>
      <c r="DA17" s="190" t="e">
        <f>VLOOKUP($B17,#REF!,15,FALSE)</f>
        <v>#REF!</v>
      </c>
      <c r="DB17" s="189" t="e">
        <f>VLOOKUP($B17,#REF!,16,FALSE)</f>
        <v>#REF!</v>
      </c>
      <c r="DC17" s="190" t="e">
        <f t="shared" si="94"/>
        <v>#REF!</v>
      </c>
      <c r="DD17" s="190" t="e">
        <f t="shared" si="95"/>
        <v>#REF!</v>
      </c>
      <c r="DE17" s="190" t="e">
        <f t="shared" si="96"/>
        <v>#REF!</v>
      </c>
      <c r="DF17" s="190" t="e">
        <f t="shared" si="97"/>
        <v>#REF!</v>
      </c>
      <c r="DG17" s="1"/>
      <c r="DH17" s="253" t="s">
        <v>273</v>
      </c>
      <c r="DI17" s="253">
        <v>69935.030920718331</v>
      </c>
      <c r="DJ17" s="173">
        <f t="shared" si="98"/>
        <v>0.13832581041624176</v>
      </c>
      <c r="DK17" s="172" t="e">
        <f>IF(VLOOKUP($B17,#REF!,6,FALSE)="Y","Yes","")</f>
        <v>#REF!</v>
      </c>
      <c r="DL17" s="172" t="e">
        <f>VLOOKUP($B17,#REF!,4,FALSE)</f>
        <v>#REF!</v>
      </c>
      <c r="DM17" s="173" t="e">
        <f t="shared" si="15"/>
        <v>#REF!</v>
      </c>
      <c r="DN17" s="1"/>
      <c r="DO17" s="172">
        <f t="shared" si="99"/>
        <v>1918338.5169829738</v>
      </c>
      <c r="DP17" s="252">
        <v>1849784.9414992083</v>
      </c>
      <c r="DQ17" s="172">
        <f t="shared" si="100"/>
        <v>-68553.575483765453</v>
      </c>
      <c r="DR17" s="173">
        <f t="shared" si="16"/>
        <v>-3.5735911507204489E-2</v>
      </c>
      <c r="DS17" s="172">
        <f t="shared" si="101"/>
        <v>1849784.9414992083</v>
      </c>
      <c r="DT17" s="252">
        <v>1881536.1236325831</v>
      </c>
      <c r="DU17" s="172">
        <f t="shared" si="102"/>
        <v>31751.182133374736</v>
      </c>
      <c r="DV17" s="173">
        <f t="shared" si="103"/>
        <v>1.6551396874056792E-2</v>
      </c>
      <c r="DW17" s="172">
        <f t="shared" si="104"/>
        <v>1881536.1236325831</v>
      </c>
      <c r="DX17" s="252">
        <v>1891088.6406441941</v>
      </c>
      <c r="DY17" s="172">
        <f t="shared" si="105"/>
        <v>9552.5170116110239</v>
      </c>
      <c r="DZ17" s="173">
        <f t="shared" si="106"/>
        <v>4.9795783836079893E-3</v>
      </c>
      <c r="EA17" s="172">
        <f t="shared" si="107"/>
        <v>1891088.6406441941</v>
      </c>
      <c r="EB17" s="252">
        <v>1875023.8687547415</v>
      </c>
      <c r="EC17" s="172">
        <f t="shared" si="108"/>
        <v>-16064.77188945259</v>
      </c>
      <c r="ED17" s="173">
        <f t="shared" si="109"/>
        <v>-8.3743154543537597E-3</v>
      </c>
      <c r="EE17" s="172">
        <f t="shared" si="110"/>
        <v>1875023.8687547415</v>
      </c>
      <c r="EF17" s="252">
        <v>1908885.7141793433</v>
      </c>
      <c r="EG17" s="172">
        <f t="shared" si="111"/>
        <v>33861.845424601808</v>
      </c>
      <c r="EH17" s="173">
        <f t="shared" si="112"/>
        <v>1.7651652784336159E-2</v>
      </c>
      <c r="EI17" s="172">
        <f t="shared" si="113"/>
        <v>1908885.7141793433</v>
      </c>
      <c r="EJ17" s="252">
        <v>1918338.5169829738</v>
      </c>
      <c r="EK17" s="172">
        <f t="shared" si="114"/>
        <v>9452.802803630475</v>
      </c>
      <c r="EL17" s="173">
        <f t="shared" si="115"/>
        <v>4.9275989195573106E-3</v>
      </c>
      <c r="EM17" s="172">
        <f t="shared" si="116"/>
        <v>0</v>
      </c>
      <c r="EN17" s="173">
        <f t="shared" si="17"/>
        <v>0</v>
      </c>
      <c r="EO17" s="214"/>
      <c r="EP17" s="273">
        <v>947699.1188827341</v>
      </c>
      <c r="EQ17" s="273">
        <v>947699.1188827341</v>
      </c>
      <c r="ER17" s="172">
        <f t="shared" si="117"/>
        <v>0</v>
      </c>
      <c r="ES17" s="173">
        <f t="shared" si="18"/>
        <v>0</v>
      </c>
      <c r="ET17" s="273">
        <v>573123.38867007452</v>
      </c>
      <c r="EU17" s="273">
        <v>573123.38867007452</v>
      </c>
      <c r="EV17" s="172">
        <f t="shared" si="118"/>
        <v>0</v>
      </c>
      <c r="EW17" s="173">
        <f t="shared" si="19"/>
        <v>0</v>
      </c>
      <c r="EX17" s="273">
        <v>592422.80000000005</v>
      </c>
      <c r="EY17" s="273">
        <v>592422.80000000005</v>
      </c>
      <c r="EZ17" s="172">
        <f t="shared" si="119"/>
        <v>0</v>
      </c>
      <c r="FA17" s="173">
        <f t="shared" si="20"/>
        <v>0</v>
      </c>
      <c r="FB17" s="172">
        <f t="shared" si="120"/>
        <v>947699.1188827341</v>
      </c>
      <c r="FC17" s="273">
        <v>962317.32716581004</v>
      </c>
      <c r="FD17" s="172">
        <f t="shared" si="121"/>
        <v>14618.208283075946</v>
      </c>
      <c r="FE17" s="173">
        <f t="shared" si="21"/>
        <v>1.5424946580418597E-2</v>
      </c>
      <c r="FF17" s="172">
        <f t="shared" si="122"/>
        <v>573123.38867007452</v>
      </c>
      <c r="FG17" s="273">
        <v>577314.59148613084</v>
      </c>
      <c r="FH17" s="172">
        <f t="shared" si="123"/>
        <v>4191.2028160563204</v>
      </c>
      <c r="FI17" s="173">
        <f t="shared" si="22"/>
        <v>7.3129153318658886E-3</v>
      </c>
      <c r="FJ17" s="172">
        <f t="shared" si="124"/>
        <v>962317.32716581004</v>
      </c>
      <c r="FK17" s="273">
        <v>1120030.2562488993</v>
      </c>
      <c r="FL17" s="172">
        <f t="shared" si="125"/>
        <v>157712.92908308923</v>
      </c>
      <c r="FM17" s="173">
        <f t="shared" si="23"/>
        <v>0.16388869308586693</v>
      </c>
      <c r="FN17" s="172">
        <f t="shared" si="126"/>
        <v>577314.59148613084</v>
      </c>
      <c r="FO17" s="273">
        <v>624175.73777094693</v>
      </c>
      <c r="FP17" s="172">
        <f t="shared" si="127"/>
        <v>46861.146284816088</v>
      </c>
      <c r="FQ17" s="173">
        <f t="shared" si="24"/>
        <v>8.1170902270433706E-2</v>
      </c>
      <c r="FR17" s="172">
        <f t="shared" si="128"/>
        <v>624175.73777094693</v>
      </c>
      <c r="FS17" s="273">
        <v>670785.45732418145</v>
      </c>
      <c r="FT17" s="172">
        <f t="shared" si="129"/>
        <v>46609.719553234521</v>
      </c>
      <c r="FU17" s="173">
        <f t="shared" si="25"/>
        <v>7.4674032860820416E-2</v>
      </c>
      <c r="FV17" s="172">
        <f t="shared" si="26"/>
        <v>592422.80000000005</v>
      </c>
      <c r="FW17" s="273">
        <v>652436</v>
      </c>
      <c r="FX17" s="172">
        <f t="shared" si="130"/>
        <v>60013.199999999953</v>
      </c>
      <c r="FY17" s="173">
        <f t="shared" si="27"/>
        <v>0.10130130035508415</v>
      </c>
      <c r="FZ17" s="214"/>
      <c r="GA17" s="172">
        <f t="shared" si="28"/>
        <v>947699.1188827341</v>
      </c>
      <c r="GB17" s="172">
        <f t="shared" si="29"/>
        <v>0</v>
      </c>
      <c r="GC17" s="172">
        <f t="shared" si="30"/>
        <v>14618.208283075946</v>
      </c>
      <c r="GD17" s="172">
        <f t="shared" si="31"/>
        <v>157712.92908308923</v>
      </c>
      <c r="GE17" s="172">
        <f t="shared" si="32"/>
        <v>172331.13736616517</v>
      </c>
      <c r="GF17" s="172">
        <f t="shared" si="33"/>
        <v>1120030.2562488993</v>
      </c>
      <c r="GG17" s="173">
        <f t="shared" si="34"/>
        <v>0.18184161400226964</v>
      </c>
      <c r="GH17" s="244"/>
      <c r="GI17" s="172">
        <f t="shared" si="35"/>
        <v>573123.38867007452</v>
      </c>
      <c r="GJ17" s="172">
        <f t="shared" si="36"/>
        <v>0</v>
      </c>
      <c r="GK17" s="172">
        <f t="shared" si="37"/>
        <v>4191.2028160563204</v>
      </c>
      <c r="GL17" s="172">
        <f t="shared" si="38"/>
        <v>46861.146284816088</v>
      </c>
      <c r="GM17" s="172">
        <f t="shared" si="39"/>
        <v>46609.719553234521</v>
      </c>
      <c r="GN17" s="172">
        <f t="shared" si="40"/>
        <v>97662.06865410693</v>
      </c>
      <c r="GO17" s="172">
        <f t="shared" si="41"/>
        <v>670785.45732418145</v>
      </c>
      <c r="GP17" s="173">
        <f t="shared" si="42"/>
        <v>0.17040321610452944</v>
      </c>
      <c r="GQ17" s="214"/>
      <c r="GR17" s="172">
        <f t="shared" si="43"/>
        <v>592422.80000000005</v>
      </c>
      <c r="GS17" s="172">
        <f t="shared" si="44"/>
        <v>0</v>
      </c>
      <c r="GT17" s="172">
        <f t="shared" si="45"/>
        <v>60013.199999999953</v>
      </c>
      <c r="GU17" s="172">
        <f t="shared" si="131"/>
        <v>60013.199999999953</v>
      </c>
      <c r="GV17" s="172">
        <f t="shared" si="132"/>
        <v>652436</v>
      </c>
      <c r="GW17" s="173">
        <f t="shared" si="133"/>
        <v>0.10130130035508415</v>
      </c>
      <c r="GX17" s="214"/>
      <c r="GY17" s="273">
        <v>-194906.79056983517</v>
      </c>
      <c r="GZ17" s="172" t="e">
        <f t="shared" si="134"/>
        <v>#REF!</v>
      </c>
      <c r="HA17" s="172" t="e">
        <f>-VLOOKUP($B17,#REF!,23,FALSE)</f>
        <v>#REF!</v>
      </c>
    </row>
    <row r="18" spans="1:209" ht="15" customHeight="1" x14ac:dyDescent="0.45">
      <c r="A18" s="148">
        <v>2</v>
      </c>
      <c r="B18" s="215" t="s">
        <v>21</v>
      </c>
      <c r="C18" s="172">
        <v>5005940.8604989192</v>
      </c>
      <c r="D18" s="173">
        <f t="shared" si="0"/>
        <v>3.4751702065785651E-3</v>
      </c>
      <c r="E18" s="1"/>
      <c r="F18" s="252">
        <v>8073362.6350408308</v>
      </c>
      <c r="G18" s="173">
        <f t="shared" si="1"/>
        <v>3.4352973033208896E-3</v>
      </c>
      <c r="H18" s="173">
        <f t="shared" si="46"/>
        <v>0.98852634521837368</v>
      </c>
      <c r="I18" s="172" t="e">
        <f>VLOOKUP($B18,#REF!,24,FALSE)</f>
        <v>#REF!</v>
      </c>
      <c r="J18" s="173" t="e">
        <f t="shared" si="2"/>
        <v>#REF!</v>
      </c>
      <c r="K18" s="173" t="e">
        <f t="shared" si="47"/>
        <v>#REF!</v>
      </c>
      <c r="L18" s="172" t="e">
        <f t="shared" si="48"/>
        <v>#REF!</v>
      </c>
      <c r="M18" s="173" t="e">
        <f t="shared" si="49"/>
        <v>#REF!</v>
      </c>
      <c r="N18" s="173" t="e">
        <f t="shared" si="50"/>
        <v>#REF!</v>
      </c>
      <c r="O18" s="176"/>
      <c r="P18" s="253">
        <v>90</v>
      </c>
      <c r="Q18" s="173">
        <f t="shared" si="3"/>
        <v>5.0061185893870283E-3</v>
      </c>
      <c r="R18" s="172" t="e">
        <f>VLOOKUP($B18,#REF!,4,FALSE)</f>
        <v>#REF!</v>
      </c>
      <c r="S18" s="173" t="e">
        <f t="shared" si="4"/>
        <v>#REF!</v>
      </c>
      <c r="T18" s="172" t="e">
        <f t="shared" si="51"/>
        <v>#REF!</v>
      </c>
      <c r="U18" s="173" t="e">
        <f t="shared" si="52"/>
        <v>#REF!</v>
      </c>
      <c r="V18" s="173" t="e">
        <f t="shared" si="53"/>
        <v>#REF!</v>
      </c>
      <c r="W18" s="1"/>
      <c r="X18" s="189">
        <f>VLOOKUP($B18,'Average RAS salary'!$A$5:$D$62,4,FALSE)</f>
        <v>47970.315571238258</v>
      </c>
      <c r="Y18" s="253">
        <v>45346.635361205503</v>
      </c>
      <c r="Z18" s="252" t="s">
        <v>272</v>
      </c>
      <c r="AA18" s="252" t="s">
        <v>272</v>
      </c>
      <c r="AB18" s="173">
        <f t="shared" si="5"/>
        <v>0.77733689648325743</v>
      </c>
      <c r="AC18" s="172" t="e">
        <f>VLOOKUP($B18,#REF!,3,FALSE)</f>
        <v>#REF!</v>
      </c>
      <c r="AD18" s="172" t="e">
        <f>VLOOKUP($B18,#REF!,5,FALSE)</f>
        <v>#REF!</v>
      </c>
      <c r="AE18" s="172" t="e">
        <f>VLOOKUP($B18,#REF!,6,FALSE)</f>
        <v>#REF!</v>
      </c>
      <c r="AF18" s="173" t="e">
        <f t="shared" si="6"/>
        <v>#REF!</v>
      </c>
      <c r="AG18" s="172" t="e">
        <f t="shared" si="54"/>
        <v>#REF!</v>
      </c>
      <c r="AH18" s="173" t="e">
        <f t="shared" si="7"/>
        <v>#REF!</v>
      </c>
      <c r="AI18" s="173" t="e">
        <f t="shared" si="8"/>
        <v>#REF!</v>
      </c>
      <c r="AJ18" s="189">
        <v>43884.404200410856</v>
      </c>
      <c r="AK18" s="189">
        <f>VLOOKUP($B18,'Average RAS salary'!$A$5:$D$62,4,FALSE)</f>
        <v>47970.315571238258</v>
      </c>
      <c r="AL18" s="189">
        <f t="shared" si="55"/>
        <v>4085.9113708274017</v>
      </c>
      <c r="AM18" s="173">
        <f t="shared" si="56"/>
        <v>9.3106228631198967E-2</v>
      </c>
      <c r="AN18" s="189" t="e">
        <f t="shared" si="57"/>
        <v>#REF!</v>
      </c>
      <c r="AO18" s="189" t="e">
        <f t="shared" si="58"/>
        <v>#REF!</v>
      </c>
      <c r="AP18" s="189" t="e">
        <f t="shared" si="59"/>
        <v>#REF!</v>
      </c>
      <c r="AQ18" s="189" t="e">
        <f t="shared" si="135"/>
        <v>#REF!</v>
      </c>
      <c r="AR18" s="189" t="e">
        <f t="shared" si="60"/>
        <v>#REF!</v>
      </c>
      <c r="AS18" s="189" t="e">
        <f t="shared" si="9"/>
        <v>#REF!</v>
      </c>
      <c r="AT18" s="213" t="e">
        <f t="shared" si="61"/>
        <v>#REF!</v>
      </c>
      <c r="AU18" s="173" t="e">
        <f t="shared" si="62"/>
        <v>#REF!</v>
      </c>
      <c r="AV18" s="189"/>
      <c r="AW18" s="189">
        <f>VLOOKUP($B18,'Average RAS salary'!$A$5:$D$62,4,FALSE)</f>
        <v>47970.315571238258</v>
      </c>
      <c r="AX18" s="189" t="e">
        <f t="shared" si="10"/>
        <v>#REF!</v>
      </c>
      <c r="AY18" s="189">
        <v>39873.926413174508</v>
      </c>
      <c r="AZ18" s="189" t="e">
        <f t="shared" si="11"/>
        <v>#REF!</v>
      </c>
      <c r="BA18" s="189" t="e">
        <f t="shared" si="63"/>
        <v>#REF!</v>
      </c>
      <c r="BB18" s="189" t="e">
        <f t="shared" si="64"/>
        <v>#REF!</v>
      </c>
      <c r="BC18" s="189" t="e">
        <f t="shared" si="65"/>
        <v>#REF!</v>
      </c>
      <c r="BD18" s="213">
        <f t="shared" si="66"/>
        <v>-8096.3891580637501</v>
      </c>
      <c r="BE18" s="173">
        <f t="shared" si="67"/>
        <v>-0.16877915147421155</v>
      </c>
      <c r="BF18" s="189"/>
      <c r="BG18" s="189">
        <f>VLOOKUP($B18,'Average RAS salary'!$A$5:$D$62,4,FALSE)</f>
        <v>47970.315571238258</v>
      </c>
      <c r="BH18" s="189" t="e">
        <f t="shared" si="68"/>
        <v>#REF!</v>
      </c>
      <c r="BI18" s="189" t="e">
        <f>$BG$65*#REF!</f>
        <v>#REF!</v>
      </c>
      <c r="BJ18" s="189" t="e">
        <f t="shared" si="69"/>
        <v>#REF!</v>
      </c>
      <c r="BK18" s="189" t="e">
        <f t="shared" si="12"/>
        <v>#REF!</v>
      </c>
      <c r="BL18" s="189" t="e">
        <f t="shared" si="13"/>
        <v>#REF!</v>
      </c>
      <c r="BM18" s="189" t="e">
        <f t="shared" si="70"/>
        <v>#REF!</v>
      </c>
      <c r="BN18" s="213" t="e">
        <f t="shared" si="71"/>
        <v>#REF!</v>
      </c>
      <c r="BO18" s="173" t="e">
        <f t="shared" si="72"/>
        <v>#REF!</v>
      </c>
      <c r="BP18" s="189"/>
      <c r="BQ18" s="189">
        <f>VLOOKUP($B18,'Average RAS salary'!$A$5:$D$62,4,FALSE)</f>
        <v>47970.315571238258</v>
      </c>
      <c r="BR18" s="189" t="e">
        <f t="shared" si="73"/>
        <v>#REF!</v>
      </c>
      <c r="BS18" s="189" t="e">
        <f>VLOOKUP($B18,#REF!,19,FALSE)*$BQ$65</f>
        <v>#REF!</v>
      </c>
      <c r="BT18" s="189" t="e">
        <f t="shared" si="74"/>
        <v>#REF!</v>
      </c>
      <c r="BU18" s="189" t="e">
        <f t="shared" si="75"/>
        <v>#REF!</v>
      </c>
      <c r="BV18" s="189" t="e">
        <f t="shared" si="76"/>
        <v>#REF!</v>
      </c>
      <c r="BW18" s="189" t="e">
        <f t="shared" si="77"/>
        <v>#REF!</v>
      </c>
      <c r="BX18" s="213" t="e">
        <f t="shared" si="78"/>
        <v>#REF!</v>
      </c>
      <c r="BY18" s="173" t="e">
        <f t="shared" si="79"/>
        <v>#REF!</v>
      </c>
      <c r="BZ18" s="189"/>
      <c r="CA18" s="189">
        <f>VLOOKUP($B18,'Average RAS salary'!$A$5:$D$62,4,FALSE)</f>
        <v>47970.315571238258</v>
      </c>
      <c r="CB18" s="189" t="e">
        <f t="shared" si="80"/>
        <v>#REF!</v>
      </c>
      <c r="CC18" s="189" t="e">
        <f>IF(VLOOKUP($B18,#REF!,7,FALSE)&gt;VLOOKUP($B18,#REF!,19,FALSE)*$CA$65,VLOOKUP($B18,#REF!,19,FALSE)*$CA$65,VLOOKUP($B18,#REF!,7,FALSE))</f>
        <v>#REF!</v>
      </c>
      <c r="CD18" s="189" t="e">
        <f t="shared" si="81"/>
        <v>#REF!</v>
      </c>
      <c r="CE18" s="189" t="e">
        <f t="shared" si="82"/>
        <v>#REF!</v>
      </c>
      <c r="CF18" s="189" t="e">
        <f t="shared" si="83"/>
        <v>#REF!</v>
      </c>
      <c r="CG18" s="189" t="e">
        <f t="shared" si="84"/>
        <v>#REF!</v>
      </c>
      <c r="CH18" s="213" t="e">
        <f t="shared" si="85"/>
        <v>#REF!</v>
      </c>
      <c r="CI18" s="173" t="e">
        <f t="shared" si="86"/>
        <v>#REF!</v>
      </c>
      <c r="CJ18" s="189"/>
      <c r="CK18" s="189">
        <f>VLOOKUP($B18,'Average RAS salary'!$A$5:$D$62,4,FALSE)</f>
        <v>47970.315571238258</v>
      </c>
      <c r="CL18" s="189" t="e">
        <f t="shared" si="87"/>
        <v>#REF!</v>
      </c>
      <c r="CM18" s="189" t="e">
        <f>IF($AY18&gt;VLOOKUP($B18,#REF!,19,FALSE)*$CK$65,VLOOKUP($B18,#REF!,19,FALSE)*$CK$65,$AY18)</f>
        <v>#REF!</v>
      </c>
      <c r="CN18" s="189" t="e">
        <f t="shared" si="88"/>
        <v>#REF!</v>
      </c>
      <c r="CO18" s="189" t="e">
        <f t="shared" si="89"/>
        <v>#REF!</v>
      </c>
      <c r="CP18" s="189" t="e">
        <f t="shared" si="90"/>
        <v>#REF!</v>
      </c>
      <c r="CQ18" s="189" t="e">
        <f t="shared" si="91"/>
        <v>#REF!</v>
      </c>
      <c r="CR18" s="213" t="e">
        <f t="shared" si="92"/>
        <v>#REF!</v>
      </c>
      <c r="CS18" s="173" t="e">
        <f t="shared" si="93"/>
        <v>#REF!</v>
      </c>
      <c r="CT18" s="1"/>
      <c r="CU18" s="254">
        <v>0.31274999972757556</v>
      </c>
      <c r="CV18" s="252">
        <v>9598.1928655290158</v>
      </c>
      <c r="CW18" s="254">
        <v>0.31275000000492981</v>
      </c>
      <c r="CX18" s="255">
        <v>10419.276153846153</v>
      </c>
      <c r="CY18" s="190" t="e">
        <f>VLOOKUP($B18,#REF!,13,FALSE)</f>
        <v>#REF!</v>
      </c>
      <c r="CZ18" s="172" t="e">
        <f>VLOOKUP($B18,#REF!,14,FALSE)</f>
        <v>#REF!</v>
      </c>
      <c r="DA18" s="190" t="e">
        <f>VLOOKUP($B18,#REF!,15,FALSE)</f>
        <v>#REF!</v>
      </c>
      <c r="DB18" s="189" t="e">
        <f>VLOOKUP($B18,#REF!,16,FALSE)</f>
        <v>#REF!</v>
      </c>
      <c r="DC18" s="190" t="e">
        <f t="shared" si="94"/>
        <v>#REF!</v>
      </c>
      <c r="DD18" s="190" t="e">
        <f t="shared" si="95"/>
        <v>#REF!</v>
      </c>
      <c r="DE18" s="190" t="e">
        <f t="shared" si="96"/>
        <v>#REF!</v>
      </c>
      <c r="DF18" s="190" t="e">
        <f t="shared" si="97"/>
        <v>#REF!</v>
      </c>
      <c r="DG18" s="1"/>
      <c r="DH18" s="253" t="s">
        <v>272</v>
      </c>
      <c r="DI18" s="253">
        <v>0</v>
      </c>
      <c r="DJ18" s="173">
        <f t="shared" si="98"/>
        <v>0</v>
      </c>
      <c r="DK18" s="172" t="e">
        <f>IF(VLOOKUP($B18,#REF!,6,FALSE)="Y","Yes","")</f>
        <v>#REF!</v>
      </c>
      <c r="DL18" s="172" t="e">
        <f>VLOOKUP($B18,#REF!,4,FALSE)</f>
        <v>#REF!</v>
      </c>
      <c r="DM18" s="173" t="e">
        <f t="shared" si="15"/>
        <v>#REF!</v>
      </c>
      <c r="DN18" s="1"/>
      <c r="DO18" s="172">
        <f t="shared" si="99"/>
        <v>8073362.6350408308</v>
      </c>
      <c r="DP18" s="252">
        <v>7777102.8810762158</v>
      </c>
      <c r="DQ18" s="172">
        <f t="shared" si="100"/>
        <v>-296259.75396461505</v>
      </c>
      <c r="DR18" s="173">
        <f t="shared" si="16"/>
        <v>-3.6695955249025768E-2</v>
      </c>
      <c r="DS18" s="172">
        <f t="shared" si="101"/>
        <v>7777102.8810762158</v>
      </c>
      <c r="DT18" s="252">
        <v>7907357.5479273787</v>
      </c>
      <c r="DU18" s="172">
        <f t="shared" si="102"/>
        <v>130254.66685116291</v>
      </c>
      <c r="DV18" s="173">
        <f t="shared" si="103"/>
        <v>1.6133880359321201E-2</v>
      </c>
      <c r="DW18" s="172">
        <f t="shared" si="104"/>
        <v>7907357.5479273787</v>
      </c>
      <c r="DX18" s="252">
        <v>7947063.6972643817</v>
      </c>
      <c r="DY18" s="172">
        <f t="shared" si="105"/>
        <v>39706.149337003008</v>
      </c>
      <c r="DZ18" s="173">
        <f t="shared" si="106"/>
        <v>4.9181674516472649E-3</v>
      </c>
      <c r="EA18" s="172">
        <f t="shared" si="107"/>
        <v>7947063.6972643817</v>
      </c>
      <c r="EB18" s="252">
        <v>8019923.846745695</v>
      </c>
      <c r="EC18" s="172">
        <f t="shared" si="108"/>
        <v>72860.149481313303</v>
      </c>
      <c r="ED18" s="173">
        <f t="shared" si="109"/>
        <v>9.0247586755335708E-3</v>
      </c>
      <c r="EE18" s="172">
        <f t="shared" si="110"/>
        <v>8019923.846745695</v>
      </c>
      <c r="EF18" s="252">
        <v>8078771.5239719637</v>
      </c>
      <c r="EG18" s="172">
        <f t="shared" si="111"/>
        <v>58847.677226268686</v>
      </c>
      <c r="EH18" s="173">
        <f t="shared" si="112"/>
        <v>7.2891160581406321E-3</v>
      </c>
      <c r="EI18" s="172">
        <f t="shared" si="113"/>
        <v>8078771.5239719637</v>
      </c>
      <c r="EJ18" s="252">
        <v>8073362.6350408308</v>
      </c>
      <c r="EK18" s="172">
        <f t="shared" si="114"/>
        <v>-5408.888931132853</v>
      </c>
      <c r="EL18" s="173">
        <f t="shared" si="115"/>
        <v>-6.699672956169022E-4</v>
      </c>
      <c r="EM18" s="172">
        <f t="shared" si="116"/>
        <v>0</v>
      </c>
      <c r="EN18" s="173">
        <f t="shared" si="17"/>
        <v>0</v>
      </c>
      <c r="EO18" s="214"/>
      <c r="EP18" s="273">
        <v>4159297.865004003</v>
      </c>
      <c r="EQ18" s="273">
        <v>3977911.3235591808</v>
      </c>
      <c r="ER18" s="172">
        <f t="shared" si="117"/>
        <v>-181386.54144482221</v>
      </c>
      <c r="ES18" s="173">
        <f t="shared" si="18"/>
        <v>-4.3609894586053563E-2</v>
      </c>
      <c r="ET18" s="273">
        <v>2175331.8469778053</v>
      </c>
      <c r="EU18" s="273">
        <v>2079389.3514273411</v>
      </c>
      <c r="EV18" s="172">
        <f t="shared" si="118"/>
        <v>-95942.49555046414</v>
      </c>
      <c r="EW18" s="173">
        <f t="shared" si="19"/>
        <v>-4.4104762996853709E-2</v>
      </c>
      <c r="EX18" s="273">
        <v>1884701.7000000002</v>
      </c>
      <c r="EY18" s="273">
        <v>1800937.1800000002</v>
      </c>
      <c r="EZ18" s="172">
        <f t="shared" si="119"/>
        <v>-83764.520000000019</v>
      </c>
      <c r="FA18" s="173">
        <f t="shared" si="20"/>
        <v>-4.4444444444444453E-2</v>
      </c>
      <c r="FB18" s="172">
        <f t="shared" si="120"/>
        <v>3977911.3235591808</v>
      </c>
      <c r="FC18" s="273">
        <v>4060208.24553602</v>
      </c>
      <c r="FD18" s="172">
        <f t="shared" si="121"/>
        <v>82296.921976839192</v>
      </c>
      <c r="FE18" s="173">
        <f t="shared" si="21"/>
        <v>2.0688475755966617E-2</v>
      </c>
      <c r="FF18" s="172">
        <f t="shared" si="122"/>
        <v>2079389.3514273411</v>
      </c>
      <c r="FG18" s="273">
        <v>2105127.7137575322</v>
      </c>
      <c r="FH18" s="172">
        <f t="shared" si="123"/>
        <v>25738.36233019107</v>
      </c>
      <c r="FI18" s="173">
        <f t="shared" si="22"/>
        <v>1.2377846559868002E-2</v>
      </c>
      <c r="FJ18" s="172">
        <f t="shared" si="124"/>
        <v>4060208.24553602</v>
      </c>
      <c r="FK18" s="273">
        <v>4700905.6658886168</v>
      </c>
      <c r="FL18" s="172">
        <f t="shared" si="125"/>
        <v>640697.42035259679</v>
      </c>
      <c r="FM18" s="173">
        <f t="shared" si="23"/>
        <v>0.15779915255750959</v>
      </c>
      <c r="FN18" s="172">
        <f t="shared" si="126"/>
        <v>2105127.7137575322</v>
      </c>
      <c r="FO18" s="273">
        <v>2305505.8318261863</v>
      </c>
      <c r="FP18" s="172">
        <f t="shared" si="127"/>
        <v>200378.11806865409</v>
      </c>
      <c r="FQ18" s="173">
        <f t="shared" si="24"/>
        <v>9.518572994841755E-2</v>
      </c>
      <c r="FR18" s="172">
        <f t="shared" si="128"/>
        <v>2305505.8318261863</v>
      </c>
      <c r="FS18" s="273">
        <v>2389838.7378218356</v>
      </c>
      <c r="FT18" s="172">
        <f t="shared" si="129"/>
        <v>84332.905995649286</v>
      </c>
      <c r="FU18" s="173">
        <f t="shared" si="25"/>
        <v>3.6578916796254371E-2</v>
      </c>
      <c r="FV18" s="172">
        <f t="shared" si="26"/>
        <v>1800937.1800000002</v>
      </c>
      <c r="FW18" s="273">
        <v>1957003.96</v>
      </c>
      <c r="FX18" s="172">
        <f t="shared" si="130"/>
        <v>156066.7799999998</v>
      </c>
      <c r="FY18" s="173">
        <f t="shared" si="27"/>
        <v>8.6658647360481386E-2</v>
      </c>
      <c r="FZ18" s="214"/>
      <c r="GA18" s="172">
        <f t="shared" si="28"/>
        <v>4159297.865004003</v>
      </c>
      <c r="GB18" s="172">
        <f t="shared" si="29"/>
        <v>-181386.54144482221</v>
      </c>
      <c r="GC18" s="172">
        <f t="shared" si="30"/>
        <v>82296.921976839192</v>
      </c>
      <c r="GD18" s="172">
        <f t="shared" si="31"/>
        <v>640697.42035259679</v>
      </c>
      <c r="GE18" s="172">
        <f t="shared" si="32"/>
        <v>541607.80088461377</v>
      </c>
      <c r="GF18" s="172">
        <f t="shared" si="33"/>
        <v>4700905.6658886168</v>
      </c>
      <c r="GG18" s="173">
        <f t="shared" si="34"/>
        <v>0.13021616110778172</v>
      </c>
      <c r="GH18" s="244"/>
      <c r="GI18" s="172">
        <f t="shared" si="35"/>
        <v>2175331.8469778053</v>
      </c>
      <c r="GJ18" s="172">
        <f t="shared" si="36"/>
        <v>-95942.49555046414</v>
      </c>
      <c r="GK18" s="172">
        <f t="shared" si="37"/>
        <v>25738.36233019107</v>
      </c>
      <c r="GL18" s="172">
        <f t="shared" si="38"/>
        <v>200378.11806865409</v>
      </c>
      <c r="GM18" s="172">
        <f t="shared" si="39"/>
        <v>84332.905995649286</v>
      </c>
      <c r="GN18" s="172">
        <f t="shared" si="40"/>
        <v>214506.89084403031</v>
      </c>
      <c r="GO18" s="172">
        <f t="shared" si="41"/>
        <v>2389838.7378218356</v>
      </c>
      <c r="GP18" s="173">
        <f t="shared" si="42"/>
        <v>9.8608812785067876E-2</v>
      </c>
      <c r="GQ18" s="214"/>
      <c r="GR18" s="172">
        <f t="shared" si="43"/>
        <v>1884701.7000000002</v>
      </c>
      <c r="GS18" s="172">
        <f t="shared" si="44"/>
        <v>-83764.520000000019</v>
      </c>
      <c r="GT18" s="172">
        <f t="shared" si="45"/>
        <v>156066.7799999998</v>
      </c>
      <c r="GU18" s="172">
        <f t="shared" si="131"/>
        <v>72302.259999999776</v>
      </c>
      <c r="GV18" s="172">
        <f t="shared" si="132"/>
        <v>1957003.96</v>
      </c>
      <c r="GW18" s="173">
        <f t="shared" si="133"/>
        <v>3.8362707477793315E-2</v>
      </c>
      <c r="GX18" s="214"/>
      <c r="GY18" s="273">
        <v>-145968.77694097799</v>
      </c>
      <c r="GZ18" s="172" t="e">
        <f t="shared" si="134"/>
        <v>#REF!</v>
      </c>
      <c r="HA18" s="172" t="e">
        <f>-VLOOKUP($B18,#REF!,23,FALSE)</f>
        <v>#REF!</v>
      </c>
    </row>
    <row r="19" spans="1:209" ht="15" customHeight="1" x14ac:dyDescent="0.45">
      <c r="A19" s="148">
        <v>2</v>
      </c>
      <c r="B19" s="212" t="s">
        <v>22</v>
      </c>
      <c r="C19" s="172">
        <v>6294285.8577341046</v>
      </c>
      <c r="D19" s="173">
        <f t="shared" si="0"/>
        <v>4.369551158122615E-3</v>
      </c>
      <c r="E19" s="1"/>
      <c r="F19" s="252">
        <v>11407375.323424947</v>
      </c>
      <c r="G19" s="173">
        <f t="shared" si="1"/>
        <v>4.8539533597121501E-3</v>
      </c>
      <c r="H19" s="173">
        <f t="shared" si="46"/>
        <v>1.1108585719814892</v>
      </c>
      <c r="I19" s="172" t="e">
        <f>VLOOKUP($B19,#REF!,24,FALSE)</f>
        <v>#REF!</v>
      </c>
      <c r="J19" s="173" t="e">
        <f t="shared" si="2"/>
        <v>#REF!</v>
      </c>
      <c r="K19" s="173" t="e">
        <f t="shared" si="47"/>
        <v>#REF!</v>
      </c>
      <c r="L19" s="172" t="e">
        <f t="shared" si="48"/>
        <v>#REF!</v>
      </c>
      <c r="M19" s="173" t="e">
        <f t="shared" si="49"/>
        <v>#REF!</v>
      </c>
      <c r="N19" s="173" t="e">
        <f t="shared" si="50"/>
        <v>#REF!</v>
      </c>
      <c r="O19" s="176"/>
      <c r="P19" s="253">
        <v>136</v>
      </c>
      <c r="Q19" s="173">
        <f t="shared" si="3"/>
        <v>7.5648014239626206E-3</v>
      </c>
      <c r="R19" s="172" t="e">
        <f>VLOOKUP($B19,#REF!,4,FALSE)</f>
        <v>#REF!</v>
      </c>
      <c r="S19" s="173" t="e">
        <f t="shared" si="4"/>
        <v>#REF!</v>
      </c>
      <c r="T19" s="172" t="e">
        <f t="shared" si="51"/>
        <v>#REF!</v>
      </c>
      <c r="U19" s="173" t="e">
        <f t="shared" si="52"/>
        <v>#REF!</v>
      </c>
      <c r="V19" s="173" t="e">
        <f t="shared" si="53"/>
        <v>#REF!</v>
      </c>
      <c r="W19" s="1"/>
      <c r="X19" s="189">
        <f>VLOOKUP($B19,'Average RAS salary'!$A$5:$D$62,4,FALSE)</f>
        <v>44490.435684065174</v>
      </c>
      <c r="Y19" s="253">
        <v>46235.894043058928</v>
      </c>
      <c r="Z19" s="252" t="s">
        <v>272</v>
      </c>
      <c r="AA19" s="252" t="s">
        <v>272</v>
      </c>
      <c r="AB19" s="173">
        <f t="shared" si="5"/>
        <v>0.79258066437070041</v>
      </c>
      <c r="AC19" s="172" t="e">
        <f>VLOOKUP($B19,#REF!,3,FALSE)</f>
        <v>#REF!</v>
      </c>
      <c r="AD19" s="172" t="e">
        <f>VLOOKUP($B19,#REF!,5,FALSE)</f>
        <v>#REF!</v>
      </c>
      <c r="AE19" s="172" t="e">
        <f>VLOOKUP($B19,#REF!,6,FALSE)</f>
        <v>#REF!</v>
      </c>
      <c r="AF19" s="173" t="e">
        <f t="shared" si="6"/>
        <v>#REF!</v>
      </c>
      <c r="AG19" s="172" t="e">
        <f t="shared" si="54"/>
        <v>#REF!</v>
      </c>
      <c r="AH19" s="173" t="e">
        <f t="shared" si="7"/>
        <v>#REF!</v>
      </c>
      <c r="AI19" s="173" t="e">
        <f t="shared" si="8"/>
        <v>#REF!</v>
      </c>
      <c r="AJ19" s="189">
        <v>43938.850746502358</v>
      </c>
      <c r="AK19" s="189">
        <f>VLOOKUP($B19,'Average RAS salary'!$A$5:$D$62,4,FALSE)</f>
        <v>44490.435684065174</v>
      </c>
      <c r="AL19" s="189">
        <f t="shared" si="55"/>
        <v>551.58493756281678</v>
      </c>
      <c r="AM19" s="173">
        <f t="shared" si="56"/>
        <v>1.2553467562114704E-2</v>
      </c>
      <c r="AN19" s="189" t="e">
        <f t="shared" si="57"/>
        <v>#REF!</v>
      </c>
      <c r="AO19" s="189" t="e">
        <f t="shared" si="58"/>
        <v>#REF!</v>
      </c>
      <c r="AP19" s="189" t="e">
        <f t="shared" si="59"/>
        <v>#REF!</v>
      </c>
      <c r="AQ19" s="189" t="e">
        <f t="shared" si="135"/>
        <v>#REF!</v>
      </c>
      <c r="AR19" s="189" t="e">
        <f t="shared" si="60"/>
        <v>#REF!</v>
      </c>
      <c r="AS19" s="189" t="e">
        <f t="shared" si="9"/>
        <v>#REF!</v>
      </c>
      <c r="AT19" s="213" t="e">
        <f t="shared" si="61"/>
        <v>#REF!</v>
      </c>
      <c r="AU19" s="173" t="e">
        <f t="shared" si="62"/>
        <v>#REF!</v>
      </c>
      <c r="AV19" s="189"/>
      <c r="AW19" s="189">
        <f>VLOOKUP($B19,'Average RAS salary'!$A$5:$D$62,4,FALSE)</f>
        <v>44490.435684065174</v>
      </c>
      <c r="AX19" s="189" t="e">
        <f t="shared" si="10"/>
        <v>#REF!</v>
      </c>
      <c r="AY19" s="189">
        <v>40445.143043370816</v>
      </c>
      <c r="AZ19" s="189" t="e">
        <f t="shared" si="11"/>
        <v>#REF!</v>
      </c>
      <c r="BA19" s="189" t="e">
        <f t="shared" si="63"/>
        <v>#REF!</v>
      </c>
      <c r="BB19" s="189" t="e">
        <f t="shared" si="64"/>
        <v>#REF!</v>
      </c>
      <c r="BC19" s="189" t="e">
        <f t="shared" si="65"/>
        <v>#REF!</v>
      </c>
      <c r="BD19" s="213">
        <f t="shared" si="66"/>
        <v>-4045.2926406943589</v>
      </c>
      <c r="BE19" s="173">
        <f t="shared" si="67"/>
        <v>-9.0924994967923695E-2</v>
      </c>
      <c r="BF19" s="189"/>
      <c r="BG19" s="189">
        <f>VLOOKUP($B19,'Average RAS salary'!$A$5:$D$62,4,FALSE)</f>
        <v>44490.435684065174</v>
      </c>
      <c r="BH19" s="189" t="e">
        <f t="shared" si="68"/>
        <v>#REF!</v>
      </c>
      <c r="BI19" s="189" t="e">
        <f>$BG$65*#REF!</f>
        <v>#REF!</v>
      </c>
      <c r="BJ19" s="189" t="e">
        <f t="shared" si="69"/>
        <v>#REF!</v>
      </c>
      <c r="BK19" s="189" t="e">
        <f t="shared" si="12"/>
        <v>#REF!</v>
      </c>
      <c r="BL19" s="189" t="e">
        <f t="shared" si="13"/>
        <v>#REF!</v>
      </c>
      <c r="BM19" s="189" t="e">
        <f t="shared" si="70"/>
        <v>#REF!</v>
      </c>
      <c r="BN19" s="213" t="e">
        <f t="shared" si="71"/>
        <v>#REF!</v>
      </c>
      <c r="BO19" s="173" t="e">
        <f t="shared" si="72"/>
        <v>#REF!</v>
      </c>
      <c r="BP19" s="189"/>
      <c r="BQ19" s="189">
        <f>VLOOKUP($B19,'Average RAS salary'!$A$5:$D$62,4,FALSE)</f>
        <v>44490.435684065174</v>
      </c>
      <c r="BR19" s="189" t="e">
        <f t="shared" si="73"/>
        <v>#REF!</v>
      </c>
      <c r="BS19" s="189" t="e">
        <f>VLOOKUP($B19,#REF!,19,FALSE)*$BQ$65</f>
        <v>#REF!</v>
      </c>
      <c r="BT19" s="189" t="e">
        <f t="shared" si="74"/>
        <v>#REF!</v>
      </c>
      <c r="BU19" s="189" t="e">
        <f t="shared" si="75"/>
        <v>#REF!</v>
      </c>
      <c r="BV19" s="189" t="e">
        <f t="shared" si="76"/>
        <v>#REF!</v>
      </c>
      <c r="BW19" s="189" t="e">
        <f t="shared" si="77"/>
        <v>#REF!</v>
      </c>
      <c r="BX19" s="213" t="e">
        <f t="shared" si="78"/>
        <v>#REF!</v>
      </c>
      <c r="BY19" s="173" t="e">
        <f t="shared" si="79"/>
        <v>#REF!</v>
      </c>
      <c r="BZ19" s="189"/>
      <c r="CA19" s="189">
        <f>VLOOKUP($B19,'Average RAS salary'!$A$5:$D$62,4,FALSE)</f>
        <v>44490.435684065174</v>
      </c>
      <c r="CB19" s="189" t="e">
        <f t="shared" si="80"/>
        <v>#REF!</v>
      </c>
      <c r="CC19" s="189" t="e">
        <f>IF(VLOOKUP($B19,#REF!,7,FALSE)&gt;VLOOKUP($B19,#REF!,19,FALSE)*$CA$65,VLOOKUP($B19,#REF!,19,FALSE)*$CA$65,VLOOKUP($B19,#REF!,7,FALSE))</f>
        <v>#REF!</v>
      </c>
      <c r="CD19" s="189" t="e">
        <f t="shared" si="81"/>
        <v>#REF!</v>
      </c>
      <c r="CE19" s="189" t="e">
        <f t="shared" si="82"/>
        <v>#REF!</v>
      </c>
      <c r="CF19" s="189" t="e">
        <f t="shared" si="83"/>
        <v>#REF!</v>
      </c>
      <c r="CG19" s="189" t="e">
        <f t="shared" si="84"/>
        <v>#REF!</v>
      </c>
      <c r="CH19" s="213" t="e">
        <f t="shared" si="85"/>
        <v>#REF!</v>
      </c>
      <c r="CI19" s="173" t="e">
        <f t="shared" si="86"/>
        <v>#REF!</v>
      </c>
      <c r="CJ19" s="189"/>
      <c r="CK19" s="189">
        <f>VLOOKUP($B19,'Average RAS salary'!$A$5:$D$62,4,FALSE)</f>
        <v>44490.435684065174</v>
      </c>
      <c r="CL19" s="189" t="e">
        <f t="shared" si="87"/>
        <v>#REF!</v>
      </c>
      <c r="CM19" s="189" t="e">
        <f>IF($AY19&gt;VLOOKUP($B19,#REF!,19,FALSE)*$CK$65,VLOOKUP($B19,#REF!,19,FALSE)*$CK$65,$AY19)</f>
        <v>#REF!</v>
      </c>
      <c r="CN19" s="189" t="e">
        <f t="shared" si="88"/>
        <v>#REF!</v>
      </c>
      <c r="CO19" s="189" t="e">
        <f t="shared" si="89"/>
        <v>#REF!</v>
      </c>
      <c r="CP19" s="189" t="e">
        <f t="shared" si="90"/>
        <v>#REF!</v>
      </c>
      <c r="CQ19" s="189" t="e">
        <f t="shared" si="91"/>
        <v>#REF!</v>
      </c>
      <c r="CR19" s="213" t="e">
        <f t="shared" si="92"/>
        <v>#REF!</v>
      </c>
      <c r="CS19" s="173" t="e">
        <f t="shared" si="93"/>
        <v>#REF!</v>
      </c>
      <c r="CT19" s="1"/>
      <c r="CU19" s="254">
        <v>0.28008299692052929</v>
      </c>
      <c r="CV19" s="252">
        <v>4358.6114820502935</v>
      </c>
      <c r="CW19" s="254">
        <v>0.28916154239354813</v>
      </c>
      <c r="CX19" s="255">
        <v>5926.8326285714284</v>
      </c>
      <c r="CY19" s="190" t="e">
        <f>VLOOKUP($B19,#REF!,13,FALSE)</f>
        <v>#REF!</v>
      </c>
      <c r="CZ19" s="172" t="e">
        <f>VLOOKUP($B19,#REF!,14,FALSE)</f>
        <v>#REF!</v>
      </c>
      <c r="DA19" s="190" t="e">
        <f>VLOOKUP($B19,#REF!,15,FALSE)</f>
        <v>#REF!</v>
      </c>
      <c r="DB19" s="189" t="e">
        <f>VLOOKUP($B19,#REF!,16,FALSE)</f>
        <v>#REF!</v>
      </c>
      <c r="DC19" s="190" t="e">
        <f t="shared" si="94"/>
        <v>#REF!</v>
      </c>
      <c r="DD19" s="190" t="e">
        <f t="shared" si="95"/>
        <v>#REF!</v>
      </c>
      <c r="DE19" s="190" t="e">
        <f t="shared" si="96"/>
        <v>#REF!</v>
      </c>
      <c r="DF19" s="190" t="e">
        <f t="shared" si="97"/>
        <v>#REF!</v>
      </c>
      <c r="DG19" s="1"/>
      <c r="DH19" s="253" t="s">
        <v>272</v>
      </c>
      <c r="DI19" s="253">
        <v>0</v>
      </c>
      <c r="DJ19" s="173">
        <f t="shared" si="98"/>
        <v>0</v>
      </c>
      <c r="DK19" s="172" t="e">
        <f>IF(VLOOKUP($B19,#REF!,6,FALSE)="Y","Yes","")</f>
        <v>#REF!</v>
      </c>
      <c r="DL19" s="172" t="e">
        <f>VLOOKUP($B19,#REF!,4,FALSE)</f>
        <v>#REF!</v>
      </c>
      <c r="DM19" s="173" t="e">
        <f t="shared" si="15"/>
        <v>#REF!</v>
      </c>
      <c r="DN19" s="1"/>
      <c r="DO19" s="172">
        <f t="shared" si="99"/>
        <v>11407375.323424947</v>
      </c>
      <c r="DP19" s="252">
        <v>11385608.347516377</v>
      </c>
      <c r="DQ19" s="172">
        <f t="shared" si="100"/>
        <v>-21766.975908569992</v>
      </c>
      <c r="DR19" s="173">
        <f t="shared" si="16"/>
        <v>-1.9081493587636846E-3</v>
      </c>
      <c r="DS19" s="172">
        <f t="shared" si="101"/>
        <v>11385608.347516377</v>
      </c>
      <c r="DT19" s="252">
        <v>11590571.401829038</v>
      </c>
      <c r="DU19" s="172">
        <f t="shared" si="102"/>
        <v>204963.05431266129</v>
      </c>
      <c r="DV19" s="173">
        <f t="shared" si="103"/>
        <v>1.7967591010332712E-2</v>
      </c>
      <c r="DW19" s="172">
        <f t="shared" si="104"/>
        <v>11590571.401829038</v>
      </c>
      <c r="DX19" s="252">
        <v>11695903.517812829</v>
      </c>
      <c r="DY19" s="172">
        <f t="shared" si="105"/>
        <v>105332.11598379165</v>
      </c>
      <c r="DZ19" s="173">
        <f t="shared" si="106"/>
        <v>9.2336854883255277E-3</v>
      </c>
      <c r="EA19" s="172">
        <f t="shared" si="107"/>
        <v>11695903.517812829</v>
      </c>
      <c r="EB19" s="252">
        <v>11322730.772172574</v>
      </c>
      <c r="EC19" s="172">
        <f t="shared" si="108"/>
        <v>-373172.74564025551</v>
      </c>
      <c r="ED19" s="173">
        <f t="shared" si="109"/>
        <v>-3.2713287242679613E-2</v>
      </c>
      <c r="EE19" s="172">
        <f t="shared" si="110"/>
        <v>11322730.772172574</v>
      </c>
      <c r="EF19" s="252">
        <v>11411656.151092269</v>
      </c>
      <c r="EG19" s="172">
        <f t="shared" si="111"/>
        <v>88925.378919694573</v>
      </c>
      <c r="EH19" s="173">
        <f t="shared" si="112"/>
        <v>7.7954285186958893E-3</v>
      </c>
      <c r="EI19" s="172">
        <f t="shared" si="113"/>
        <v>11411656.151092269</v>
      </c>
      <c r="EJ19" s="252">
        <v>11407375.323424947</v>
      </c>
      <c r="EK19" s="172">
        <f t="shared" si="114"/>
        <v>-4280.8276673220098</v>
      </c>
      <c r="EL19" s="173">
        <f t="shared" si="115"/>
        <v>-3.7526841591083333E-4</v>
      </c>
      <c r="EM19" s="172">
        <f t="shared" si="116"/>
        <v>0</v>
      </c>
      <c r="EN19" s="173">
        <f t="shared" si="17"/>
        <v>0</v>
      </c>
      <c r="EO19" s="214"/>
      <c r="EP19" s="273">
        <v>6367713.8459603377</v>
      </c>
      <c r="EQ19" s="273">
        <v>6090298.4817019841</v>
      </c>
      <c r="ER19" s="172">
        <f t="shared" si="117"/>
        <v>-277415.3642583536</v>
      </c>
      <c r="ES19" s="173">
        <f t="shared" si="18"/>
        <v>-4.3565928207396638E-2</v>
      </c>
      <c r="ET19" s="273">
        <v>2420717.9520136109</v>
      </c>
      <c r="EU19" s="273">
        <v>2312891.0048818756</v>
      </c>
      <c r="EV19" s="172">
        <f t="shared" si="118"/>
        <v>-107826.94713173527</v>
      </c>
      <c r="EW19" s="173">
        <f t="shared" si="19"/>
        <v>-4.454337484548427E-2</v>
      </c>
      <c r="EX19" s="273">
        <v>2847993.68</v>
      </c>
      <c r="EY19" s="273">
        <v>2722346.9</v>
      </c>
      <c r="EZ19" s="172">
        <f t="shared" si="119"/>
        <v>-125646.78000000026</v>
      </c>
      <c r="FA19" s="173">
        <f t="shared" si="20"/>
        <v>-4.4117647058823616E-2</v>
      </c>
      <c r="FB19" s="172">
        <f t="shared" si="120"/>
        <v>6090298.4817019841</v>
      </c>
      <c r="FC19" s="273">
        <v>6214584.4612066979</v>
      </c>
      <c r="FD19" s="172">
        <f t="shared" si="121"/>
        <v>124285.97950471379</v>
      </c>
      <c r="FE19" s="173">
        <f t="shared" si="21"/>
        <v>2.0407206621830633E-2</v>
      </c>
      <c r="FF19" s="172">
        <f t="shared" si="122"/>
        <v>2312891.0048818756</v>
      </c>
      <c r="FG19" s="273">
        <v>2347913.3603122779</v>
      </c>
      <c r="FH19" s="172">
        <f t="shared" si="123"/>
        <v>35022.355430402327</v>
      </c>
      <c r="FI19" s="173">
        <f t="shared" si="22"/>
        <v>1.5142242049659835E-2</v>
      </c>
      <c r="FJ19" s="172">
        <f t="shared" si="124"/>
        <v>6214584.4612066979</v>
      </c>
      <c r="FK19" s="273">
        <v>7056853.9790544892</v>
      </c>
      <c r="FL19" s="172">
        <f t="shared" si="125"/>
        <v>842269.51784779131</v>
      </c>
      <c r="FM19" s="173">
        <f t="shared" si="23"/>
        <v>0.13553110800979382</v>
      </c>
      <c r="FN19" s="172">
        <f t="shared" si="126"/>
        <v>2347913.3603122779</v>
      </c>
      <c r="FO19" s="273">
        <v>2585083.2368935081</v>
      </c>
      <c r="FP19" s="172">
        <f t="shared" si="127"/>
        <v>237169.8765812302</v>
      </c>
      <c r="FQ19" s="173">
        <f t="shared" si="24"/>
        <v>0.10101304442923995</v>
      </c>
      <c r="FR19" s="172">
        <f t="shared" si="128"/>
        <v>2585083.2368935081</v>
      </c>
      <c r="FS19" s="273">
        <v>2606369.6567214658</v>
      </c>
      <c r="FT19" s="172">
        <f t="shared" si="129"/>
        <v>21286.419827957638</v>
      </c>
      <c r="FU19" s="173">
        <f t="shared" si="25"/>
        <v>8.2343266646754121E-3</v>
      </c>
      <c r="FV19" s="172">
        <f t="shared" si="26"/>
        <v>2722346.9</v>
      </c>
      <c r="FW19" s="273">
        <v>2958261.8000000003</v>
      </c>
      <c r="FX19" s="172">
        <f t="shared" si="130"/>
        <v>235914.90000000037</v>
      </c>
      <c r="FY19" s="173">
        <f t="shared" si="27"/>
        <v>8.6658647360481636E-2</v>
      </c>
      <c r="FZ19" s="214"/>
      <c r="GA19" s="172">
        <f t="shared" si="28"/>
        <v>6367713.8459603377</v>
      </c>
      <c r="GB19" s="172">
        <f t="shared" si="29"/>
        <v>-277415.3642583536</v>
      </c>
      <c r="GC19" s="172">
        <f t="shared" si="30"/>
        <v>124285.97950471379</v>
      </c>
      <c r="GD19" s="172">
        <f t="shared" si="31"/>
        <v>842269.51784779131</v>
      </c>
      <c r="GE19" s="172">
        <f t="shared" si="32"/>
        <v>689140.1330941515</v>
      </c>
      <c r="GF19" s="172">
        <f t="shared" si="33"/>
        <v>7056853.9790544892</v>
      </c>
      <c r="GG19" s="173">
        <f t="shared" si="34"/>
        <v>0.1082241051914323</v>
      </c>
      <c r="GH19" s="244"/>
      <c r="GI19" s="172">
        <f t="shared" si="35"/>
        <v>2420717.9520136109</v>
      </c>
      <c r="GJ19" s="172">
        <f t="shared" si="36"/>
        <v>-107826.94713173527</v>
      </c>
      <c r="GK19" s="172">
        <f t="shared" si="37"/>
        <v>35022.355430402327</v>
      </c>
      <c r="GL19" s="172">
        <f t="shared" si="38"/>
        <v>237169.8765812302</v>
      </c>
      <c r="GM19" s="172">
        <f t="shared" si="39"/>
        <v>21286.419827957638</v>
      </c>
      <c r="GN19" s="172">
        <f t="shared" si="40"/>
        <v>185651.70470785489</v>
      </c>
      <c r="GO19" s="172">
        <f t="shared" si="41"/>
        <v>2606369.6567214658</v>
      </c>
      <c r="GP19" s="173">
        <f t="shared" si="42"/>
        <v>7.6692827660250706E-2</v>
      </c>
      <c r="GQ19" s="214"/>
      <c r="GR19" s="172">
        <f t="shared" si="43"/>
        <v>2847993.68</v>
      </c>
      <c r="GS19" s="172">
        <f t="shared" si="44"/>
        <v>-125646.78000000026</v>
      </c>
      <c r="GT19" s="172">
        <f t="shared" si="45"/>
        <v>235914.90000000037</v>
      </c>
      <c r="GU19" s="172">
        <f t="shared" si="131"/>
        <v>110268.12000000011</v>
      </c>
      <c r="GV19" s="172">
        <f t="shared" si="132"/>
        <v>2958261.8000000003</v>
      </c>
      <c r="GW19" s="173">
        <f t="shared" si="133"/>
        <v>3.8717824682813234E-2</v>
      </c>
      <c r="GX19" s="214"/>
      <c r="GY19" s="273">
        <v>-229050.15454900259</v>
      </c>
      <c r="GZ19" s="172" t="e">
        <f t="shared" si="134"/>
        <v>#REF!</v>
      </c>
      <c r="HA19" s="172" t="e">
        <f>-VLOOKUP($B19,#REF!,23,FALSE)</f>
        <v>#REF!</v>
      </c>
    </row>
    <row r="20" spans="1:209" ht="15" customHeight="1" x14ac:dyDescent="0.45">
      <c r="A20" s="148">
        <v>1</v>
      </c>
      <c r="B20" s="215" t="s">
        <v>10</v>
      </c>
      <c r="C20" s="172">
        <v>1722461.193342648</v>
      </c>
      <c r="D20" s="173">
        <f t="shared" si="0"/>
        <v>1.1957484093201114E-3</v>
      </c>
      <c r="E20" s="1"/>
      <c r="F20" s="252">
        <v>1955944.621106362</v>
      </c>
      <c r="G20" s="173">
        <f t="shared" si="1"/>
        <v>8.3227418190880034E-4</v>
      </c>
      <c r="H20" s="173">
        <f t="shared" si="46"/>
        <v>0.6960278394867544</v>
      </c>
      <c r="I20" s="172" t="e">
        <f>VLOOKUP($B20,#REF!,24,FALSE)</f>
        <v>#REF!</v>
      </c>
      <c r="J20" s="173" t="e">
        <f t="shared" si="2"/>
        <v>#REF!</v>
      </c>
      <c r="K20" s="173" t="e">
        <f t="shared" si="47"/>
        <v>#REF!</v>
      </c>
      <c r="L20" s="172" t="e">
        <f t="shared" si="48"/>
        <v>#REF!</v>
      </c>
      <c r="M20" s="173" t="e">
        <f t="shared" si="49"/>
        <v>#REF!</v>
      </c>
      <c r="N20" s="173" t="e">
        <f t="shared" si="50"/>
        <v>#REF!</v>
      </c>
      <c r="O20" s="176"/>
      <c r="P20" s="253">
        <v>19</v>
      </c>
      <c r="Q20" s="173">
        <f t="shared" si="3"/>
        <v>1.0568472577594838E-3</v>
      </c>
      <c r="R20" s="172" t="e">
        <f>VLOOKUP($B20,#REF!,4,FALSE)</f>
        <v>#REF!</v>
      </c>
      <c r="S20" s="173" t="e">
        <f t="shared" si="4"/>
        <v>#REF!</v>
      </c>
      <c r="T20" s="172" t="e">
        <f t="shared" si="51"/>
        <v>#REF!</v>
      </c>
      <c r="U20" s="173" t="e">
        <f t="shared" si="52"/>
        <v>#REF!</v>
      </c>
      <c r="V20" s="173" t="e">
        <f t="shared" si="53"/>
        <v>#REF!</v>
      </c>
      <c r="W20" s="1"/>
      <c r="X20" s="189">
        <f>VLOOKUP($B20,'Average RAS salary'!$A$5:$D$62,4,FALSE)</f>
        <v>51118.391376547668</v>
      </c>
      <c r="Y20" s="253">
        <v>48878.689071893103</v>
      </c>
      <c r="Z20" s="252" t="s">
        <v>273</v>
      </c>
      <c r="AA20" s="252" t="s">
        <v>272</v>
      </c>
      <c r="AB20" s="173">
        <f t="shared" si="5"/>
        <v>0.83788374075975591</v>
      </c>
      <c r="AC20" s="172" t="e">
        <f>VLOOKUP($B20,#REF!,3,FALSE)</f>
        <v>#REF!</v>
      </c>
      <c r="AD20" s="172" t="e">
        <f>VLOOKUP($B20,#REF!,5,FALSE)</f>
        <v>#REF!</v>
      </c>
      <c r="AE20" s="172" t="e">
        <f>VLOOKUP($B20,#REF!,6,FALSE)</f>
        <v>#REF!</v>
      </c>
      <c r="AF20" s="173" t="e">
        <f t="shared" si="6"/>
        <v>#REF!</v>
      </c>
      <c r="AG20" s="172" t="e">
        <f t="shared" si="54"/>
        <v>#REF!</v>
      </c>
      <c r="AH20" s="173" t="e">
        <f t="shared" si="7"/>
        <v>#REF!</v>
      </c>
      <c r="AI20" s="173" t="e">
        <f t="shared" si="8"/>
        <v>#REF!</v>
      </c>
      <c r="AJ20" s="189">
        <v>57586.119033693649</v>
      </c>
      <c r="AK20" s="189">
        <f>VLOOKUP($B20,'Average RAS salary'!$A$5:$D$62,4,FALSE)</f>
        <v>51118.391376547668</v>
      </c>
      <c r="AL20" s="189">
        <f t="shared" si="55"/>
        <v>-6467.7276571459806</v>
      </c>
      <c r="AM20" s="173">
        <f t="shared" si="56"/>
        <v>-0.1123140049316696</v>
      </c>
      <c r="AN20" s="189" t="e">
        <f t="shared" si="57"/>
        <v>#REF!</v>
      </c>
      <c r="AO20" s="189" t="e">
        <f t="shared" si="58"/>
        <v>#REF!</v>
      </c>
      <c r="AP20" s="189" t="e">
        <f t="shared" si="59"/>
        <v>#REF!</v>
      </c>
      <c r="AQ20" s="189" t="e">
        <f t="shared" si="135"/>
        <v>#REF!</v>
      </c>
      <c r="AR20" s="189" t="e">
        <f t="shared" si="60"/>
        <v>#REF!</v>
      </c>
      <c r="AS20" s="189" t="e">
        <f t="shared" si="9"/>
        <v>#REF!</v>
      </c>
      <c r="AT20" s="213" t="e">
        <f t="shared" si="61"/>
        <v>#REF!</v>
      </c>
      <c r="AU20" s="173" t="e">
        <f t="shared" si="62"/>
        <v>#REF!</v>
      </c>
      <c r="AV20" s="189"/>
      <c r="AW20" s="189">
        <f>VLOOKUP($B20,'Average RAS salary'!$A$5:$D$62,4,FALSE)</f>
        <v>51118.391376547668</v>
      </c>
      <c r="AX20" s="189" t="e">
        <f t="shared" si="10"/>
        <v>#REF!</v>
      </c>
      <c r="AY20" s="189">
        <v>43016.024895667062</v>
      </c>
      <c r="AZ20" s="189" t="e">
        <f t="shared" si="11"/>
        <v>#REF!</v>
      </c>
      <c r="BA20" s="189" t="e">
        <f t="shared" si="63"/>
        <v>#REF!</v>
      </c>
      <c r="BB20" s="189" t="e">
        <f t="shared" si="64"/>
        <v>#REF!</v>
      </c>
      <c r="BC20" s="189" t="e">
        <f t="shared" si="65"/>
        <v>#REF!</v>
      </c>
      <c r="BD20" s="213">
        <f t="shared" si="66"/>
        <v>-8102.3664808806061</v>
      </c>
      <c r="BE20" s="173">
        <f t="shared" si="67"/>
        <v>-0.15850198456358014</v>
      </c>
      <c r="BF20" s="189"/>
      <c r="BG20" s="189">
        <f>VLOOKUP($B20,'Average RAS salary'!$A$5:$D$62,4,FALSE)</f>
        <v>51118.391376547668</v>
      </c>
      <c r="BH20" s="189" t="e">
        <f t="shared" si="68"/>
        <v>#REF!</v>
      </c>
      <c r="BI20" s="189" t="e">
        <f>$BG$65*#REF!</f>
        <v>#REF!</v>
      </c>
      <c r="BJ20" s="189" t="e">
        <f t="shared" si="69"/>
        <v>#REF!</v>
      </c>
      <c r="BK20" s="189" t="e">
        <f t="shared" si="12"/>
        <v>#REF!</v>
      </c>
      <c r="BL20" s="189" t="e">
        <f t="shared" si="13"/>
        <v>#REF!</v>
      </c>
      <c r="BM20" s="189" t="e">
        <f t="shared" si="70"/>
        <v>#REF!</v>
      </c>
      <c r="BN20" s="213" t="e">
        <f t="shared" si="71"/>
        <v>#REF!</v>
      </c>
      <c r="BO20" s="173" t="e">
        <f t="shared" si="72"/>
        <v>#REF!</v>
      </c>
      <c r="BP20" s="189"/>
      <c r="BQ20" s="189">
        <f>VLOOKUP($B20,'Average RAS salary'!$A$5:$D$62,4,FALSE)</f>
        <v>51118.391376547668</v>
      </c>
      <c r="BR20" s="189" t="e">
        <f t="shared" si="73"/>
        <v>#REF!</v>
      </c>
      <c r="BS20" s="189" t="e">
        <f>VLOOKUP($B20,#REF!,19,FALSE)*$BQ$65</f>
        <v>#REF!</v>
      </c>
      <c r="BT20" s="189" t="e">
        <f t="shared" si="74"/>
        <v>#REF!</v>
      </c>
      <c r="BU20" s="189" t="e">
        <f t="shared" si="75"/>
        <v>#REF!</v>
      </c>
      <c r="BV20" s="189" t="e">
        <f t="shared" si="76"/>
        <v>#REF!</v>
      </c>
      <c r="BW20" s="189" t="e">
        <f t="shared" si="77"/>
        <v>#REF!</v>
      </c>
      <c r="BX20" s="213" t="e">
        <f t="shared" si="78"/>
        <v>#REF!</v>
      </c>
      <c r="BY20" s="173" t="e">
        <f t="shared" si="79"/>
        <v>#REF!</v>
      </c>
      <c r="BZ20" s="189"/>
      <c r="CA20" s="189">
        <f>VLOOKUP($B20,'Average RAS salary'!$A$5:$D$62,4,FALSE)</f>
        <v>51118.391376547668</v>
      </c>
      <c r="CB20" s="189" t="e">
        <f t="shared" si="80"/>
        <v>#REF!</v>
      </c>
      <c r="CC20" s="189" t="e">
        <f>IF(VLOOKUP($B20,#REF!,7,FALSE)&gt;VLOOKUP($B20,#REF!,19,FALSE)*$CA$65,VLOOKUP($B20,#REF!,19,FALSE)*$CA$65,VLOOKUP($B20,#REF!,7,FALSE))</f>
        <v>#REF!</v>
      </c>
      <c r="CD20" s="189" t="e">
        <f t="shared" si="81"/>
        <v>#REF!</v>
      </c>
      <c r="CE20" s="189" t="e">
        <f t="shared" si="82"/>
        <v>#REF!</v>
      </c>
      <c r="CF20" s="189" t="e">
        <f t="shared" si="83"/>
        <v>#REF!</v>
      </c>
      <c r="CG20" s="189" t="e">
        <f t="shared" si="84"/>
        <v>#REF!</v>
      </c>
      <c r="CH20" s="213" t="e">
        <f t="shared" si="85"/>
        <v>#REF!</v>
      </c>
      <c r="CI20" s="173" t="e">
        <f t="shared" si="86"/>
        <v>#REF!</v>
      </c>
      <c r="CJ20" s="189"/>
      <c r="CK20" s="189">
        <f>VLOOKUP($B20,'Average RAS salary'!$A$5:$D$62,4,FALSE)</f>
        <v>51118.391376547668</v>
      </c>
      <c r="CL20" s="189" t="e">
        <f t="shared" si="87"/>
        <v>#REF!</v>
      </c>
      <c r="CM20" s="189" t="e">
        <f>IF($AY20&gt;VLOOKUP($B20,#REF!,19,FALSE)*$CK$65,VLOOKUP($B20,#REF!,19,FALSE)*$CK$65,$AY20)</f>
        <v>#REF!</v>
      </c>
      <c r="CN20" s="189" t="e">
        <f t="shared" si="88"/>
        <v>#REF!</v>
      </c>
      <c r="CO20" s="189" t="e">
        <f t="shared" si="89"/>
        <v>#REF!</v>
      </c>
      <c r="CP20" s="189" t="e">
        <f t="shared" si="90"/>
        <v>#REF!</v>
      </c>
      <c r="CQ20" s="189" t="e">
        <f t="shared" si="91"/>
        <v>#REF!</v>
      </c>
      <c r="CR20" s="213" t="e">
        <f t="shared" si="92"/>
        <v>#REF!</v>
      </c>
      <c r="CS20" s="173" t="e">
        <f t="shared" si="93"/>
        <v>#REF!</v>
      </c>
      <c r="CT20" s="1"/>
      <c r="CU20" s="254">
        <v>0.25813360270136881</v>
      </c>
      <c r="CV20" s="252">
        <v>15115.038325537882</v>
      </c>
      <c r="CW20" s="254">
        <v>0.22147317301896025</v>
      </c>
      <c r="CX20" s="255">
        <v>16005.909509803923</v>
      </c>
      <c r="CY20" s="190" t="e">
        <f>VLOOKUP($B20,#REF!,13,FALSE)</f>
        <v>#REF!</v>
      </c>
      <c r="CZ20" s="172" t="e">
        <f>VLOOKUP($B20,#REF!,14,FALSE)</f>
        <v>#REF!</v>
      </c>
      <c r="DA20" s="190" t="e">
        <f>VLOOKUP($B20,#REF!,15,FALSE)</f>
        <v>#REF!</v>
      </c>
      <c r="DB20" s="189" t="e">
        <f>VLOOKUP($B20,#REF!,16,FALSE)</f>
        <v>#REF!</v>
      </c>
      <c r="DC20" s="190" t="e">
        <f t="shared" si="94"/>
        <v>#REF!</v>
      </c>
      <c r="DD20" s="190" t="e">
        <f t="shared" si="95"/>
        <v>#REF!</v>
      </c>
      <c r="DE20" s="190" t="e">
        <f t="shared" si="96"/>
        <v>#REF!</v>
      </c>
      <c r="DF20" s="190" t="e">
        <f t="shared" si="97"/>
        <v>#REF!</v>
      </c>
      <c r="DG20" s="1"/>
      <c r="DH20" s="253" t="s">
        <v>273</v>
      </c>
      <c r="DI20" s="253">
        <v>3850.4959339753259</v>
      </c>
      <c r="DJ20" s="173">
        <f t="shared" si="98"/>
        <v>7.6159681858922364E-3</v>
      </c>
      <c r="DK20" s="172" t="e">
        <f>IF(VLOOKUP($B20,#REF!,6,FALSE)="Y","Yes","")</f>
        <v>#REF!</v>
      </c>
      <c r="DL20" s="172" t="e">
        <f>VLOOKUP($B20,#REF!,4,FALSE)</f>
        <v>#REF!</v>
      </c>
      <c r="DM20" s="173" t="e">
        <f t="shared" si="15"/>
        <v>#REF!</v>
      </c>
      <c r="DN20" s="1"/>
      <c r="DO20" s="172">
        <f t="shared" si="99"/>
        <v>1955944.621106362</v>
      </c>
      <c r="DP20" s="252">
        <v>1861735.5817850735</v>
      </c>
      <c r="DQ20" s="172">
        <f t="shared" si="100"/>
        <v>-94209.039321288466</v>
      </c>
      <c r="DR20" s="173">
        <f t="shared" si="16"/>
        <v>-4.8165494209135636E-2</v>
      </c>
      <c r="DS20" s="172">
        <f t="shared" si="101"/>
        <v>1861735.5817850735</v>
      </c>
      <c r="DT20" s="252">
        <v>1893281.3530691559</v>
      </c>
      <c r="DU20" s="172">
        <f t="shared" si="102"/>
        <v>31545.771284082439</v>
      </c>
      <c r="DV20" s="173">
        <f t="shared" si="103"/>
        <v>1.6128151555865045E-2</v>
      </c>
      <c r="DW20" s="172">
        <f t="shared" si="104"/>
        <v>1893281.3530691559</v>
      </c>
      <c r="DX20" s="252">
        <v>1901310.3695108127</v>
      </c>
      <c r="DY20" s="172">
        <f t="shared" si="105"/>
        <v>8029.0164416567422</v>
      </c>
      <c r="DZ20" s="173">
        <f t="shared" si="106"/>
        <v>4.1049303518190632E-3</v>
      </c>
      <c r="EA20" s="172">
        <f t="shared" si="107"/>
        <v>1901310.3695108127</v>
      </c>
      <c r="EB20" s="252">
        <v>1921069.0122698885</v>
      </c>
      <c r="EC20" s="172">
        <f t="shared" si="108"/>
        <v>19758.642759075854</v>
      </c>
      <c r="ED20" s="173">
        <f t="shared" si="109"/>
        <v>1.0101841609349635E-2</v>
      </c>
      <c r="EE20" s="172">
        <f t="shared" si="110"/>
        <v>1921069.0122698885</v>
      </c>
      <c r="EF20" s="252">
        <v>1953237.7654232602</v>
      </c>
      <c r="EG20" s="172">
        <f t="shared" si="111"/>
        <v>32168.753153371625</v>
      </c>
      <c r="EH20" s="173">
        <f t="shared" si="112"/>
        <v>1.6446658461718444E-2</v>
      </c>
      <c r="EI20" s="172">
        <f t="shared" si="113"/>
        <v>1953237.7654232602</v>
      </c>
      <c r="EJ20" s="252">
        <v>1955944.621106362</v>
      </c>
      <c r="EK20" s="172">
        <f t="shared" si="114"/>
        <v>2706.8556831018068</v>
      </c>
      <c r="EL20" s="173">
        <f t="shared" si="115"/>
        <v>1.3839122303834445E-3</v>
      </c>
      <c r="EM20" s="172">
        <f t="shared" si="116"/>
        <v>0</v>
      </c>
      <c r="EN20" s="173">
        <f t="shared" si="17"/>
        <v>0</v>
      </c>
      <c r="EO20" s="214"/>
      <c r="EP20" s="273">
        <v>978615.62378367328</v>
      </c>
      <c r="EQ20" s="273">
        <v>978615.62378367328</v>
      </c>
      <c r="ER20" s="172">
        <f t="shared" si="117"/>
        <v>0</v>
      </c>
      <c r="ES20" s="173">
        <f t="shared" si="18"/>
        <v>0</v>
      </c>
      <c r="ET20" s="273">
        <v>534365.02644290985</v>
      </c>
      <c r="EU20" s="273">
        <v>534365.02644290985</v>
      </c>
      <c r="EV20" s="172">
        <f t="shared" si="118"/>
        <v>0</v>
      </c>
      <c r="EW20" s="173">
        <f t="shared" si="19"/>
        <v>0</v>
      </c>
      <c r="EX20" s="273">
        <v>562801.66</v>
      </c>
      <c r="EY20" s="273">
        <v>562801.66</v>
      </c>
      <c r="EZ20" s="172">
        <f t="shared" si="119"/>
        <v>0</v>
      </c>
      <c r="FA20" s="173">
        <f t="shared" si="20"/>
        <v>0</v>
      </c>
      <c r="FB20" s="172">
        <f t="shared" si="120"/>
        <v>978615.62378367328</v>
      </c>
      <c r="FC20" s="273">
        <v>992879.17708598764</v>
      </c>
      <c r="FD20" s="172">
        <f t="shared" si="121"/>
        <v>14263.553302314365</v>
      </c>
      <c r="FE20" s="173">
        <f t="shared" si="21"/>
        <v>1.4575235624347009E-2</v>
      </c>
      <c r="FF20" s="172">
        <f t="shared" si="122"/>
        <v>534365.02644290985</v>
      </c>
      <c r="FG20" s="273">
        <v>538057.46757492877</v>
      </c>
      <c r="FH20" s="172">
        <f t="shared" si="123"/>
        <v>3692.4411320189247</v>
      </c>
      <c r="FI20" s="173">
        <f t="shared" si="22"/>
        <v>6.9099603254319927E-3</v>
      </c>
      <c r="FJ20" s="172">
        <f t="shared" si="124"/>
        <v>992879.17708598764</v>
      </c>
      <c r="FK20" s="273">
        <v>1066485.9764042206</v>
      </c>
      <c r="FL20" s="172">
        <f t="shared" si="125"/>
        <v>73606.799318232923</v>
      </c>
      <c r="FM20" s="173">
        <f t="shared" si="23"/>
        <v>7.41346993843323E-2</v>
      </c>
      <c r="FN20" s="172">
        <f t="shared" si="126"/>
        <v>538057.46757492877</v>
      </c>
      <c r="FO20" s="273">
        <v>556391.59068886645</v>
      </c>
      <c r="FP20" s="172">
        <f t="shared" si="127"/>
        <v>18334.123113937676</v>
      </c>
      <c r="FQ20" s="173">
        <f t="shared" si="24"/>
        <v>3.4074655996451722E-2</v>
      </c>
      <c r="FR20" s="172">
        <f t="shared" si="128"/>
        <v>556391.59068886645</v>
      </c>
      <c r="FS20" s="273">
        <v>536486.18988353433</v>
      </c>
      <c r="FT20" s="172">
        <f t="shared" si="129"/>
        <v>-19905.400805332116</v>
      </c>
      <c r="FU20" s="173">
        <f t="shared" si="25"/>
        <v>-3.5775883637434759E-2</v>
      </c>
      <c r="FV20" s="172">
        <f t="shared" si="26"/>
        <v>562801.66</v>
      </c>
      <c r="FW20" s="273">
        <v>619814.19999999995</v>
      </c>
      <c r="FX20" s="172">
        <f t="shared" si="130"/>
        <v>57012.539999999921</v>
      </c>
      <c r="FY20" s="173">
        <f t="shared" si="27"/>
        <v>0.1013013003550841</v>
      </c>
      <c r="FZ20" s="214"/>
      <c r="GA20" s="172">
        <f t="shared" si="28"/>
        <v>978615.62378367328</v>
      </c>
      <c r="GB20" s="172">
        <f t="shared" si="29"/>
        <v>0</v>
      </c>
      <c r="GC20" s="172">
        <f t="shared" si="30"/>
        <v>14263.553302314365</v>
      </c>
      <c r="GD20" s="172">
        <f t="shared" si="31"/>
        <v>73606.799318232923</v>
      </c>
      <c r="GE20" s="172">
        <f t="shared" si="32"/>
        <v>87870.352620547288</v>
      </c>
      <c r="GF20" s="172">
        <f t="shared" si="33"/>
        <v>1066485.9764042206</v>
      </c>
      <c r="GG20" s="173">
        <f t="shared" si="34"/>
        <v>8.9790465720146082E-2</v>
      </c>
      <c r="GH20" s="244"/>
      <c r="GI20" s="172">
        <f t="shared" si="35"/>
        <v>534365.02644290985</v>
      </c>
      <c r="GJ20" s="172">
        <f t="shared" si="36"/>
        <v>0</v>
      </c>
      <c r="GK20" s="172">
        <f t="shared" si="37"/>
        <v>3692.4411320189247</v>
      </c>
      <c r="GL20" s="172">
        <f t="shared" si="38"/>
        <v>18334.123113937676</v>
      </c>
      <c r="GM20" s="172">
        <f t="shared" si="39"/>
        <v>-19905.400805332116</v>
      </c>
      <c r="GN20" s="172">
        <f t="shared" si="40"/>
        <v>2121.1634406244848</v>
      </c>
      <c r="GO20" s="172">
        <f t="shared" si="41"/>
        <v>536486.18988353433</v>
      </c>
      <c r="GP20" s="173">
        <f t="shared" si="42"/>
        <v>3.9695027474839885E-3</v>
      </c>
      <c r="GQ20" s="214"/>
      <c r="GR20" s="172">
        <f t="shared" si="43"/>
        <v>562801.66</v>
      </c>
      <c r="GS20" s="172">
        <f t="shared" si="44"/>
        <v>0</v>
      </c>
      <c r="GT20" s="172">
        <f t="shared" si="45"/>
        <v>57012.539999999921</v>
      </c>
      <c r="GU20" s="172">
        <f t="shared" si="131"/>
        <v>57012.539999999921</v>
      </c>
      <c r="GV20" s="172">
        <f t="shared" si="132"/>
        <v>619814.19999999995</v>
      </c>
      <c r="GW20" s="173">
        <f t="shared" si="133"/>
        <v>0.1013013003550841</v>
      </c>
      <c r="GX20" s="214"/>
      <c r="GY20" s="273">
        <v>-119837.68912022145</v>
      </c>
      <c r="GZ20" s="172" t="e">
        <f t="shared" si="134"/>
        <v>#REF!</v>
      </c>
      <c r="HA20" s="172" t="e">
        <f>-VLOOKUP($B20,#REF!,23,FALSE)</f>
        <v>#REF!</v>
      </c>
    </row>
    <row r="21" spans="1:209" ht="15" customHeight="1" x14ac:dyDescent="0.45">
      <c r="A21" s="148">
        <v>3</v>
      </c>
      <c r="B21" s="215" t="s">
        <v>43</v>
      </c>
      <c r="C21" s="172">
        <v>28781785.87400949</v>
      </c>
      <c r="D21" s="173">
        <f t="shared" si="0"/>
        <v>1.9980580583909033E-2</v>
      </c>
      <c r="E21" s="1"/>
      <c r="F21" s="252">
        <v>70118503.630598769</v>
      </c>
      <c r="G21" s="173">
        <f t="shared" si="1"/>
        <v>2.9836131154273825E-2</v>
      </c>
      <c r="H21" s="173">
        <f t="shared" si="46"/>
        <v>1.4932564661460219</v>
      </c>
      <c r="I21" s="172" t="e">
        <f>VLOOKUP($B21,#REF!,24,FALSE)</f>
        <v>#REF!</v>
      </c>
      <c r="J21" s="173" t="e">
        <f t="shared" si="2"/>
        <v>#REF!</v>
      </c>
      <c r="K21" s="173" t="e">
        <f t="shared" si="47"/>
        <v>#REF!</v>
      </c>
      <c r="L21" s="172" t="e">
        <f t="shared" si="48"/>
        <v>#REF!</v>
      </c>
      <c r="M21" s="173" t="e">
        <f t="shared" si="49"/>
        <v>#REF!</v>
      </c>
      <c r="N21" s="173" t="e">
        <f t="shared" si="50"/>
        <v>#REF!</v>
      </c>
      <c r="O21" s="176"/>
      <c r="P21" s="253">
        <v>525</v>
      </c>
      <c r="Q21" s="173">
        <f t="shared" si="3"/>
        <v>2.9202358438090999E-2</v>
      </c>
      <c r="R21" s="172" t="e">
        <f>VLOOKUP($B21,#REF!,4,FALSE)</f>
        <v>#REF!</v>
      </c>
      <c r="S21" s="173" t="e">
        <f t="shared" si="4"/>
        <v>#REF!</v>
      </c>
      <c r="T21" s="172" t="e">
        <f t="shared" si="51"/>
        <v>#REF!</v>
      </c>
      <c r="U21" s="173" t="e">
        <f t="shared" si="52"/>
        <v>#REF!</v>
      </c>
      <c r="V21" s="173" t="e">
        <f t="shared" si="53"/>
        <v>#REF!</v>
      </c>
      <c r="W21" s="1"/>
      <c r="X21" s="189">
        <f>VLOOKUP($B21,'Average RAS salary'!$A$5:$D$62,4,FALSE)</f>
        <v>57589.190124688219</v>
      </c>
      <c r="Y21" s="253">
        <v>61491.532638792101</v>
      </c>
      <c r="Z21" s="252" t="s">
        <v>272</v>
      </c>
      <c r="AA21" s="252" t="s">
        <v>272</v>
      </c>
      <c r="AB21" s="173">
        <f t="shared" si="5"/>
        <v>1.0540944606075591</v>
      </c>
      <c r="AC21" s="172" t="e">
        <f>VLOOKUP($B21,#REF!,3,FALSE)</f>
        <v>#REF!</v>
      </c>
      <c r="AD21" s="172" t="e">
        <f>VLOOKUP($B21,#REF!,5,FALSE)</f>
        <v>#REF!</v>
      </c>
      <c r="AE21" s="172" t="e">
        <f>VLOOKUP($B21,#REF!,6,FALSE)</f>
        <v>#REF!</v>
      </c>
      <c r="AF21" s="173" t="e">
        <f t="shared" si="6"/>
        <v>#REF!</v>
      </c>
      <c r="AG21" s="172" t="e">
        <f t="shared" si="54"/>
        <v>#REF!</v>
      </c>
      <c r="AH21" s="173" t="e">
        <f t="shared" si="7"/>
        <v>#REF!</v>
      </c>
      <c r="AI21" s="173" t="e">
        <f t="shared" si="8"/>
        <v>#REF!</v>
      </c>
      <c r="AJ21" s="189">
        <v>51252.213495145537</v>
      </c>
      <c r="AK21" s="189">
        <f>VLOOKUP($B21,'Average RAS salary'!$A$5:$D$62,4,FALSE)</f>
        <v>57589.190124688219</v>
      </c>
      <c r="AL21" s="189">
        <f t="shared" si="55"/>
        <v>6336.9766295426816</v>
      </c>
      <c r="AM21" s="173">
        <f t="shared" si="56"/>
        <v>0.1236429843199436</v>
      </c>
      <c r="AN21" s="189" t="e">
        <f t="shared" si="57"/>
        <v>#REF!</v>
      </c>
      <c r="AO21" s="189" t="e">
        <f t="shared" si="58"/>
        <v>#REF!</v>
      </c>
      <c r="AP21" s="189" t="e">
        <f t="shared" si="59"/>
        <v>#REF!</v>
      </c>
      <c r="AQ21" s="189" t="e">
        <f t="shared" si="135"/>
        <v>#REF!</v>
      </c>
      <c r="AR21" s="189" t="e">
        <f t="shared" si="60"/>
        <v>#REF!</v>
      </c>
      <c r="AS21" s="189" t="e">
        <f t="shared" si="9"/>
        <v>#REF!</v>
      </c>
      <c r="AT21" s="213" t="e">
        <f t="shared" si="61"/>
        <v>#REF!</v>
      </c>
      <c r="AU21" s="173" t="e">
        <f t="shared" si="62"/>
        <v>#REF!</v>
      </c>
      <c r="AV21" s="189"/>
      <c r="AW21" s="189">
        <f>VLOOKUP($B21,'Average RAS salary'!$A$5:$D$62,4,FALSE)</f>
        <v>57589.190124688219</v>
      </c>
      <c r="AX21" s="189" t="e">
        <f t="shared" si="10"/>
        <v>#REF!</v>
      </c>
      <c r="AY21" s="189">
        <v>54507.178944894229</v>
      </c>
      <c r="AZ21" s="189" t="e">
        <f t="shared" si="11"/>
        <v>#REF!</v>
      </c>
      <c r="BA21" s="189" t="e">
        <f t="shared" si="63"/>
        <v>#REF!</v>
      </c>
      <c r="BB21" s="189" t="e">
        <f t="shared" si="64"/>
        <v>#REF!</v>
      </c>
      <c r="BC21" s="189" t="e">
        <f t="shared" si="65"/>
        <v>#REF!</v>
      </c>
      <c r="BD21" s="213">
        <f t="shared" si="66"/>
        <v>-3082.0111797939899</v>
      </c>
      <c r="BE21" s="173">
        <f t="shared" si="67"/>
        <v>-5.3517182185077228E-2</v>
      </c>
      <c r="BF21" s="189"/>
      <c r="BG21" s="189">
        <f>VLOOKUP($B21,'Average RAS salary'!$A$5:$D$62,4,FALSE)</f>
        <v>57589.190124688219</v>
      </c>
      <c r="BH21" s="189" t="e">
        <f t="shared" si="68"/>
        <v>#REF!</v>
      </c>
      <c r="BI21" s="189" t="e">
        <f>$BG$65*#REF!</f>
        <v>#REF!</v>
      </c>
      <c r="BJ21" s="189" t="e">
        <f t="shared" si="69"/>
        <v>#REF!</v>
      </c>
      <c r="BK21" s="189" t="e">
        <f t="shared" si="12"/>
        <v>#REF!</v>
      </c>
      <c r="BL21" s="189" t="e">
        <f t="shared" si="13"/>
        <v>#REF!</v>
      </c>
      <c r="BM21" s="189" t="e">
        <f t="shared" si="70"/>
        <v>#REF!</v>
      </c>
      <c r="BN21" s="213" t="e">
        <f t="shared" si="71"/>
        <v>#REF!</v>
      </c>
      <c r="BO21" s="173" t="e">
        <f t="shared" si="72"/>
        <v>#REF!</v>
      </c>
      <c r="BP21" s="189"/>
      <c r="BQ21" s="189">
        <f>VLOOKUP($B21,'Average RAS salary'!$A$5:$D$62,4,FALSE)</f>
        <v>57589.190124688219</v>
      </c>
      <c r="BR21" s="189" t="e">
        <f t="shared" si="73"/>
        <v>#REF!</v>
      </c>
      <c r="BS21" s="189" t="e">
        <f>VLOOKUP($B21,#REF!,19,FALSE)*$BQ$65</f>
        <v>#REF!</v>
      </c>
      <c r="BT21" s="189" t="e">
        <f t="shared" si="74"/>
        <v>#REF!</v>
      </c>
      <c r="BU21" s="189" t="e">
        <f t="shared" si="75"/>
        <v>#REF!</v>
      </c>
      <c r="BV21" s="189" t="e">
        <f t="shared" si="76"/>
        <v>#REF!</v>
      </c>
      <c r="BW21" s="189" t="e">
        <f t="shared" si="77"/>
        <v>#REF!</v>
      </c>
      <c r="BX21" s="213" t="e">
        <f t="shared" si="78"/>
        <v>#REF!</v>
      </c>
      <c r="BY21" s="173" t="e">
        <f t="shared" si="79"/>
        <v>#REF!</v>
      </c>
      <c r="BZ21" s="189"/>
      <c r="CA21" s="189">
        <f>VLOOKUP($B21,'Average RAS salary'!$A$5:$D$62,4,FALSE)</f>
        <v>57589.190124688219</v>
      </c>
      <c r="CB21" s="189" t="e">
        <f t="shared" si="80"/>
        <v>#REF!</v>
      </c>
      <c r="CC21" s="189" t="e">
        <f>IF(VLOOKUP($B21,#REF!,7,FALSE)&gt;VLOOKUP($B21,#REF!,19,FALSE)*$CA$65,VLOOKUP($B21,#REF!,19,FALSE)*$CA$65,VLOOKUP($B21,#REF!,7,FALSE))</f>
        <v>#REF!</v>
      </c>
      <c r="CD21" s="189" t="e">
        <f t="shared" si="81"/>
        <v>#REF!</v>
      </c>
      <c r="CE21" s="189" t="e">
        <f t="shared" si="82"/>
        <v>#REF!</v>
      </c>
      <c r="CF21" s="189" t="e">
        <f t="shared" si="83"/>
        <v>#REF!</v>
      </c>
      <c r="CG21" s="189" t="e">
        <f t="shared" si="84"/>
        <v>#REF!</v>
      </c>
      <c r="CH21" s="213" t="e">
        <f t="shared" si="85"/>
        <v>#REF!</v>
      </c>
      <c r="CI21" s="173" t="e">
        <f t="shared" si="86"/>
        <v>#REF!</v>
      </c>
      <c r="CJ21" s="189"/>
      <c r="CK21" s="189">
        <f>VLOOKUP($B21,'Average RAS salary'!$A$5:$D$62,4,FALSE)</f>
        <v>57589.190124688219</v>
      </c>
      <c r="CL21" s="189" t="e">
        <f t="shared" si="87"/>
        <v>#REF!</v>
      </c>
      <c r="CM21" s="189" t="e">
        <f>IF($AY21&gt;VLOOKUP($B21,#REF!,19,FALSE)*$CK$65,VLOOKUP($B21,#REF!,19,FALSE)*$CK$65,$AY21)</f>
        <v>#REF!</v>
      </c>
      <c r="CN21" s="189" t="e">
        <f t="shared" si="88"/>
        <v>#REF!</v>
      </c>
      <c r="CO21" s="189" t="e">
        <f t="shared" si="89"/>
        <v>#REF!</v>
      </c>
      <c r="CP21" s="189" t="e">
        <f t="shared" si="90"/>
        <v>#REF!</v>
      </c>
      <c r="CQ21" s="189" t="e">
        <f t="shared" si="91"/>
        <v>#REF!</v>
      </c>
      <c r="CR21" s="213" t="e">
        <f t="shared" si="92"/>
        <v>#REF!</v>
      </c>
      <c r="CS21" s="173" t="e">
        <f t="shared" si="93"/>
        <v>#REF!</v>
      </c>
      <c r="CT21" s="1"/>
      <c r="CU21" s="254">
        <v>0.59929999999413996</v>
      </c>
      <c r="CV21" s="252">
        <v>16117.950801569905</v>
      </c>
      <c r="CW21" s="254">
        <v>0.59886848245407343</v>
      </c>
      <c r="CX21" s="255">
        <v>16117.950799999993</v>
      </c>
      <c r="CY21" s="190" t="e">
        <f>VLOOKUP($B21,#REF!,13,FALSE)</f>
        <v>#REF!</v>
      </c>
      <c r="CZ21" s="172" t="e">
        <f>VLOOKUP($B21,#REF!,14,FALSE)</f>
        <v>#REF!</v>
      </c>
      <c r="DA21" s="190" t="e">
        <f>VLOOKUP($B21,#REF!,15,FALSE)</f>
        <v>#REF!</v>
      </c>
      <c r="DB21" s="189" t="e">
        <f>VLOOKUP($B21,#REF!,16,FALSE)</f>
        <v>#REF!</v>
      </c>
      <c r="DC21" s="190" t="e">
        <f t="shared" si="94"/>
        <v>#REF!</v>
      </c>
      <c r="DD21" s="190" t="e">
        <f t="shared" si="95"/>
        <v>#REF!</v>
      </c>
      <c r="DE21" s="190" t="e">
        <f t="shared" si="96"/>
        <v>#REF!</v>
      </c>
      <c r="DF21" s="190" t="e">
        <f t="shared" si="97"/>
        <v>#REF!</v>
      </c>
      <c r="DG21" s="1"/>
      <c r="DH21" s="253" t="s">
        <v>272</v>
      </c>
      <c r="DI21" s="253">
        <v>0</v>
      </c>
      <c r="DJ21" s="173">
        <f t="shared" si="98"/>
        <v>0</v>
      </c>
      <c r="DK21" s="172" t="e">
        <f>IF(VLOOKUP($B21,#REF!,6,FALSE)="Y","Yes","")</f>
        <v>#REF!</v>
      </c>
      <c r="DL21" s="172" t="e">
        <f>VLOOKUP($B21,#REF!,4,FALSE)</f>
        <v>#REF!</v>
      </c>
      <c r="DM21" s="173" t="e">
        <f t="shared" si="15"/>
        <v>#REF!</v>
      </c>
      <c r="DN21" s="1"/>
      <c r="DO21" s="172">
        <f t="shared" si="99"/>
        <v>70118503.630598769</v>
      </c>
      <c r="DP21" s="252">
        <v>67411996.69409591</v>
      </c>
      <c r="DQ21" s="172">
        <f t="shared" si="100"/>
        <v>-2706506.936502859</v>
      </c>
      <c r="DR21" s="173">
        <f t="shared" si="16"/>
        <v>-3.8599040144401714E-2</v>
      </c>
      <c r="DS21" s="172">
        <f t="shared" si="101"/>
        <v>67411996.69409591</v>
      </c>
      <c r="DT21" s="252">
        <v>68684302.610608041</v>
      </c>
      <c r="DU21" s="172">
        <f t="shared" si="102"/>
        <v>1272305.9165121317</v>
      </c>
      <c r="DV21" s="173">
        <f t="shared" si="103"/>
        <v>1.8145080836507108E-2</v>
      </c>
      <c r="DW21" s="172">
        <f t="shared" si="104"/>
        <v>68684302.610608041</v>
      </c>
      <c r="DX21" s="252">
        <v>68650491.10304077</v>
      </c>
      <c r="DY21" s="172">
        <f t="shared" si="105"/>
        <v>-33811.50756727159</v>
      </c>
      <c r="DZ21" s="173">
        <f t="shared" si="106"/>
        <v>-4.8220520713617603E-4</v>
      </c>
      <c r="EA21" s="172">
        <f t="shared" si="107"/>
        <v>68650491.10304077</v>
      </c>
      <c r="EB21" s="252">
        <v>69750788.841186717</v>
      </c>
      <c r="EC21" s="172">
        <f t="shared" si="108"/>
        <v>1100297.7381459475</v>
      </c>
      <c r="ED21" s="173">
        <f t="shared" si="109"/>
        <v>1.5691974032169625E-2</v>
      </c>
      <c r="EE21" s="172">
        <f t="shared" si="110"/>
        <v>69750788.841186717</v>
      </c>
      <c r="EF21" s="252">
        <v>70094066.958339944</v>
      </c>
      <c r="EG21" s="172">
        <f t="shared" si="111"/>
        <v>343278.11715322733</v>
      </c>
      <c r="EH21" s="173">
        <f t="shared" si="112"/>
        <v>4.8956851526909279E-3</v>
      </c>
      <c r="EI21" s="172">
        <f t="shared" si="113"/>
        <v>70094066.958339944</v>
      </c>
      <c r="EJ21" s="252">
        <v>70118503.630598769</v>
      </c>
      <c r="EK21" s="172">
        <f t="shared" si="114"/>
        <v>24436.67225882411</v>
      </c>
      <c r="EL21" s="173">
        <f t="shared" si="115"/>
        <v>3.4850533017022735E-4</v>
      </c>
      <c r="EM21" s="172">
        <f t="shared" si="116"/>
        <v>0</v>
      </c>
      <c r="EN21" s="173">
        <f t="shared" si="17"/>
        <v>0</v>
      </c>
      <c r="EO21" s="214"/>
      <c r="EP21" s="273">
        <v>32423394.146696188</v>
      </c>
      <c r="EQ21" s="273">
        <v>31808478.820308268</v>
      </c>
      <c r="ER21" s="172">
        <f t="shared" si="117"/>
        <v>-614915.32638791949</v>
      </c>
      <c r="ES21" s="173">
        <f t="shared" si="18"/>
        <v>-1.8965174454154944E-2</v>
      </c>
      <c r="ET21" s="273">
        <v>27891240.157729805</v>
      </c>
      <c r="EU21" s="273">
        <v>27361541.89461343</v>
      </c>
      <c r="EV21" s="172">
        <f t="shared" si="118"/>
        <v>-529698.26311637461</v>
      </c>
      <c r="EW21" s="173">
        <f t="shared" si="19"/>
        <v>-1.8991563663746717E-2</v>
      </c>
      <c r="EX21" s="273">
        <v>10994093.25</v>
      </c>
      <c r="EY21" s="273">
        <v>10784681.950000001</v>
      </c>
      <c r="EZ21" s="172">
        <f t="shared" si="119"/>
        <v>-209411.29999999888</v>
      </c>
      <c r="FA21" s="173">
        <f t="shared" si="20"/>
        <v>-1.9047619047618945E-2</v>
      </c>
      <c r="FB21" s="172">
        <f t="shared" si="120"/>
        <v>31808478.820308268</v>
      </c>
      <c r="FC21" s="273">
        <v>32442262.707389224</v>
      </c>
      <c r="FD21" s="172">
        <f t="shared" si="121"/>
        <v>633783.88708095625</v>
      </c>
      <c r="FE21" s="173">
        <f t="shared" si="21"/>
        <v>1.9924998320772071E-2</v>
      </c>
      <c r="FF21" s="172">
        <f t="shared" si="122"/>
        <v>27361541.89461343</v>
      </c>
      <c r="FG21" s="273">
        <v>27741327.328220136</v>
      </c>
      <c r="FH21" s="172">
        <f t="shared" si="123"/>
        <v>379785.43360670656</v>
      </c>
      <c r="FI21" s="173">
        <f t="shared" si="22"/>
        <v>1.3880264316590783E-2</v>
      </c>
      <c r="FJ21" s="172">
        <f t="shared" si="124"/>
        <v>32442262.707389224</v>
      </c>
      <c r="FK21" s="273">
        <v>32031661.759587634</v>
      </c>
      <c r="FL21" s="172">
        <f t="shared" si="125"/>
        <v>-410600.94780158997</v>
      </c>
      <c r="FM21" s="173">
        <f t="shared" si="23"/>
        <v>-1.265635974608113E-2</v>
      </c>
      <c r="FN21" s="172">
        <f t="shared" si="126"/>
        <v>27741327.328220136</v>
      </c>
      <c r="FO21" s="273">
        <v>27495280.320331786</v>
      </c>
      <c r="FP21" s="172">
        <f t="shared" si="127"/>
        <v>-246047.00788835064</v>
      </c>
      <c r="FQ21" s="173">
        <f t="shared" si="24"/>
        <v>-8.8693307633502059E-3</v>
      </c>
      <c r="FR21" s="172">
        <f t="shared" si="128"/>
        <v>27495280.320331786</v>
      </c>
      <c r="FS21" s="273">
        <v>25993879.023405805</v>
      </c>
      <c r="FT21" s="172">
        <f t="shared" si="129"/>
        <v>-1501401.2969259806</v>
      </c>
      <c r="FU21" s="173">
        <f t="shared" si="25"/>
        <v>-5.4605782499178503E-2</v>
      </c>
      <c r="FV21" s="172">
        <f t="shared" si="26"/>
        <v>10784681.950000001</v>
      </c>
      <c r="FW21" s="273">
        <v>11719267.9</v>
      </c>
      <c r="FX21" s="172">
        <f t="shared" si="130"/>
        <v>934585.94999999925</v>
      </c>
      <c r="FY21" s="173">
        <f t="shared" si="27"/>
        <v>8.6658647360481428E-2</v>
      </c>
      <c r="FZ21" s="214"/>
      <c r="GA21" s="172">
        <f t="shared" si="28"/>
        <v>32423394.146696188</v>
      </c>
      <c r="GB21" s="172">
        <f t="shared" si="29"/>
        <v>-614915.32638791949</v>
      </c>
      <c r="GC21" s="172">
        <f t="shared" si="30"/>
        <v>633783.88708095625</v>
      </c>
      <c r="GD21" s="172">
        <f t="shared" si="31"/>
        <v>-410600.94780158997</v>
      </c>
      <c r="GE21" s="172">
        <f t="shared" si="32"/>
        <v>-391732.3871085532</v>
      </c>
      <c r="GF21" s="172">
        <f t="shared" si="33"/>
        <v>32031661.759587634</v>
      </c>
      <c r="GG21" s="173">
        <f t="shared" si="34"/>
        <v>-1.2081782226012545E-2</v>
      </c>
      <c r="GH21" s="244"/>
      <c r="GI21" s="172">
        <f t="shared" si="35"/>
        <v>27891240.157729805</v>
      </c>
      <c r="GJ21" s="172">
        <f t="shared" si="36"/>
        <v>-529698.26311637461</v>
      </c>
      <c r="GK21" s="172">
        <f t="shared" si="37"/>
        <v>379785.43360670656</v>
      </c>
      <c r="GL21" s="172">
        <f t="shared" si="38"/>
        <v>-246047.00788835064</v>
      </c>
      <c r="GM21" s="172">
        <f t="shared" si="39"/>
        <v>-1501401.2969259806</v>
      </c>
      <c r="GN21" s="172">
        <f t="shared" si="40"/>
        <v>-1897361.1343239993</v>
      </c>
      <c r="GO21" s="172">
        <f t="shared" si="41"/>
        <v>25993879.023405805</v>
      </c>
      <c r="GP21" s="173">
        <f t="shared" si="42"/>
        <v>-6.8027134096371927E-2</v>
      </c>
      <c r="GQ21" s="214"/>
      <c r="GR21" s="172">
        <f t="shared" si="43"/>
        <v>10994093.25</v>
      </c>
      <c r="GS21" s="172">
        <f t="shared" si="44"/>
        <v>-209411.29999999888</v>
      </c>
      <c r="GT21" s="172">
        <f t="shared" si="45"/>
        <v>934585.94999999925</v>
      </c>
      <c r="GU21" s="172">
        <f t="shared" si="131"/>
        <v>725174.65000000037</v>
      </c>
      <c r="GV21" s="172">
        <f t="shared" si="132"/>
        <v>11719267.9</v>
      </c>
      <c r="GW21" s="173">
        <f t="shared" si="133"/>
        <v>6.5960387410758076E-2</v>
      </c>
      <c r="GX21" s="214"/>
      <c r="GY21" s="273">
        <v>-1190223.9238272223</v>
      </c>
      <c r="GZ21" s="172" t="e">
        <f t="shared" si="134"/>
        <v>#REF!</v>
      </c>
      <c r="HA21" s="172" t="e">
        <f>-VLOOKUP($B21,#REF!,23,FALSE)</f>
        <v>#REF!</v>
      </c>
    </row>
    <row r="22" spans="1:209" ht="15" customHeight="1" x14ac:dyDescent="0.45">
      <c r="A22" s="148">
        <v>2</v>
      </c>
      <c r="B22" s="212" t="s">
        <v>23</v>
      </c>
      <c r="C22" s="172">
        <v>4765509.8612895897</v>
      </c>
      <c r="D22" s="173">
        <f t="shared" si="0"/>
        <v>3.3082607946469784E-3</v>
      </c>
      <c r="E22" s="1"/>
      <c r="F22" s="252">
        <v>9140499.1139774099</v>
      </c>
      <c r="G22" s="173">
        <f t="shared" si="1"/>
        <v>3.8893746480514399E-3</v>
      </c>
      <c r="H22" s="173">
        <f t="shared" si="46"/>
        <v>1.1756553940199481</v>
      </c>
      <c r="I22" s="172" t="e">
        <f>VLOOKUP($B22,#REF!,24,FALSE)</f>
        <v>#REF!</v>
      </c>
      <c r="J22" s="173" t="e">
        <f t="shared" si="2"/>
        <v>#REF!</v>
      </c>
      <c r="K22" s="173" t="e">
        <f t="shared" si="47"/>
        <v>#REF!</v>
      </c>
      <c r="L22" s="172" t="e">
        <f t="shared" si="48"/>
        <v>#REF!</v>
      </c>
      <c r="M22" s="173" t="e">
        <f t="shared" si="49"/>
        <v>#REF!</v>
      </c>
      <c r="N22" s="173" t="e">
        <f t="shared" si="50"/>
        <v>#REF!</v>
      </c>
      <c r="O22" s="176"/>
      <c r="P22" s="253">
        <v>101</v>
      </c>
      <c r="Q22" s="173">
        <f t="shared" si="3"/>
        <v>5.6179775280898875E-3</v>
      </c>
      <c r="R22" s="172" t="e">
        <f>VLOOKUP($B22,#REF!,4,FALSE)</f>
        <v>#REF!</v>
      </c>
      <c r="S22" s="173" t="e">
        <f t="shared" si="4"/>
        <v>#REF!</v>
      </c>
      <c r="T22" s="172" t="e">
        <f t="shared" si="51"/>
        <v>#REF!</v>
      </c>
      <c r="U22" s="173" t="e">
        <f t="shared" si="52"/>
        <v>#REF!</v>
      </c>
      <c r="V22" s="173" t="e">
        <f t="shared" si="53"/>
        <v>#REF!</v>
      </c>
      <c r="W22" s="1"/>
      <c r="X22" s="189">
        <f>VLOOKUP($B22,'Average RAS salary'!$A$5:$D$62,4,FALSE)</f>
        <v>49292.432432432433</v>
      </c>
      <c r="Y22" s="253">
        <v>51626.343951701871</v>
      </c>
      <c r="Z22" s="252" t="s">
        <v>272</v>
      </c>
      <c r="AA22" s="252" t="s">
        <v>272</v>
      </c>
      <c r="AB22" s="173">
        <f t="shared" si="5"/>
        <v>0.88498433598285531</v>
      </c>
      <c r="AC22" s="172" t="e">
        <f>VLOOKUP($B22,#REF!,3,FALSE)</f>
        <v>#REF!</v>
      </c>
      <c r="AD22" s="172" t="e">
        <f>VLOOKUP($B22,#REF!,5,FALSE)</f>
        <v>#REF!</v>
      </c>
      <c r="AE22" s="172" t="e">
        <f>VLOOKUP($B22,#REF!,6,FALSE)</f>
        <v>#REF!</v>
      </c>
      <c r="AF22" s="173" t="e">
        <f t="shared" si="6"/>
        <v>#REF!</v>
      </c>
      <c r="AG22" s="172" t="e">
        <f t="shared" si="54"/>
        <v>#REF!</v>
      </c>
      <c r="AH22" s="173" t="e">
        <f t="shared" si="7"/>
        <v>#REF!</v>
      </c>
      <c r="AI22" s="173" t="e">
        <f t="shared" si="8"/>
        <v>#REF!</v>
      </c>
      <c r="AJ22" s="189">
        <v>50831.493827160491</v>
      </c>
      <c r="AK22" s="189">
        <f>VLOOKUP($B22,'Average RAS salary'!$A$5:$D$62,4,FALSE)</f>
        <v>49292.432432432433</v>
      </c>
      <c r="AL22" s="189">
        <f t="shared" si="55"/>
        <v>-1539.0613947280581</v>
      </c>
      <c r="AM22" s="173">
        <f t="shared" si="56"/>
        <v>-3.0277713261019697E-2</v>
      </c>
      <c r="AN22" s="189" t="e">
        <f t="shared" si="57"/>
        <v>#REF!</v>
      </c>
      <c r="AO22" s="189" t="e">
        <f t="shared" si="58"/>
        <v>#REF!</v>
      </c>
      <c r="AP22" s="189" t="e">
        <f t="shared" si="59"/>
        <v>#REF!</v>
      </c>
      <c r="AQ22" s="189" t="e">
        <f t="shared" si="135"/>
        <v>#REF!</v>
      </c>
      <c r="AR22" s="189" t="e">
        <f t="shared" si="60"/>
        <v>#REF!</v>
      </c>
      <c r="AS22" s="189" t="e">
        <f t="shared" si="9"/>
        <v>#REF!</v>
      </c>
      <c r="AT22" s="213" t="e">
        <f t="shared" si="61"/>
        <v>#REF!</v>
      </c>
      <c r="AU22" s="173" t="e">
        <f t="shared" si="62"/>
        <v>#REF!</v>
      </c>
      <c r="AV22" s="189"/>
      <c r="AW22" s="189">
        <f>VLOOKUP($B22,'Average RAS salary'!$A$5:$D$62,4,FALSE)</f>
        <v>49292.432432432433</v>
      </c>
      <c r="AX22" s="189" t="e">
        <f t="shared" si="10"/>
        <v>#REF!</v>
      </c>
      <c r="AY22" s="189">
        <v>45090.064593243747</v>
      </c>
      <c r="AZ22" s="189" t="e">
        <f t="shared" si="11"/>
        <v>#REF!</v>
      </c>
      <c r="BA22" s="189" t="e">
        <f t="shared" si="63"/>
        <v>#REF!</v>
      </c>
      <c r="BB22" s="189" t="e">
        <f t="shared" si="64"/>
        <v>#REF!</v>
      </c>
      <c r="BC22" s="189" t="e">
        <f t="shared" si="65"/>
        <v>#REF!</v>
      </c>
      <c r="BD22" s="213">
        <f t="shared" si="66"/>
        <v>-4202.367839188686</v>
      </c>
      <c r="BE22" s="173">
        <f t="shared" si="67"/>
        <v>-8.5253813451975191E-2</v>
      </c>
      <c r="BF22" s="189"/>
      <c r="BG22" s="189">
        <f>VLOOKUP($B22,'Average RAS salary'!$A$5:$D$62,4,FALSE)</f>
        <v>49292.432432432433</v>
      </c>
      <c r="BH22" s="189" t="e">
        <f t="shared" si="68"/>
        <v>#REF!</v>
      </c>
      <c r="BI22" s="189" t="e">
        <f>$BG$65*#REF!</f>
        <v>#REF!</v>
      </c>
      <c r="BJ22" s="189" t="e">
        <f t="shared" si="69"/>
        <v>#REF!</v>
      </c>
      <c r="BK22" s="189" t="e">
        <f t="shared" si="12"/>
        <v>#REF!</v>
      </c>
      <c r="BL22" s="189" t="e">
        <f t="shared" si="13"/>
        <v>#REF!</v>
      </c>
      <c r="BM22" s="189" t="e">
        <f t="shared" si="70"/>
        <v>#REF!</v>
      </c>
      <c r="BN22" s="213" t="e">
        <f t="shared" si="71"/>
        <v>#REF!</v>
      </c>
      <c r="BO22" s="173" t="e">
        <f t="shared" si="72"/>
        <v>#REF!</v>
      </c>
      <c r="BP22" s="189"/>
      <c r="BQ22" s="189">
        <f>VLOOKUP($B22,'Average RAS salary'!$A$5:$D$62,4,FALSE)</f>
        <v>49292.432432432433</v>
      </c>
      <c r="BR22" s="189" t="e">
        <f t="shared" si="73"/>
        <v>#REF!</v>
      </c>
      <c r="BS22" s="189" t="e">
        <f>VLOOKUP($B22,#REF!,19,FALSE)*$BQ$65</f>
        <v>#REF!</v>
      </c>
      <c r="BT22" s="189" t="e">
        <f t="shared" si="74"/>
        <v>#REF!</v>
      </c>
      <c r="BU22" s="189" t="e">
        <f t="shared" si="75"/>
        <v>#REF!</v>
      </c>
      <c r="BV22" s="189" t="e">
        <f t="shared" si="76"/>
        <v>#REF!</v>
      </c>
      <c r="BW22" s="189" t="e">
        <f t="shared" si="77"/>
        <v>#REF!</v>
      </c>
      <c r="BX22" s="213" t="e">
        <f t="shared" si="78"/>
        <v>#REF!</v>
      </c>
      <c r="BY22" s="173" t="e">
        <f t="shared" si="79"/>
        <v>#REF!</v>
      </c>
      <c r="BZ22" s="189"/>
      <c r="CA22" s="189">
        <f>VLOOKUP($B22,'Average RAS salary'!$A$5:$D$62,4,FALSE)</f>
        <v>49292.432432432433</v>
      </c>
      <c r="CB22" s="189" t="e">
        <f t="shared" si="80"/>
        <v>#REF!</v>
      </c>
      <c r="CC22" s="189" t="e">
        <f>IF(VLOOKUP($B22,#REF!,7,FALSE)&gt;VLOOKUP($B22,#REF!,19,FALSE)*$CA$65,VLOOKUP($B22,#REF!,19,FALSE)*$CA$65,VLOOKUP($B22,#REF!,7,FALSE))</f>
        <v>#REF!</v>
      </c>
      <c r="CD22" s="189" t="e">
        <f t="shared" si="81"/>
        <v>#REF!</v>
      </c>
      <c r="CE22" s="189" t="e">
        <f t="shared" si="82"/>
        <v>#REF!</v>
      </c>
      <c r="CF22" s="189" t="e">
        <f t="shared" si="83"/>
        <v>#REF!</v>
      </c>
      <c r="CG22" s="189" t="e">
        <f t="shared" si="84"/>
        <v>#REF!</v>
      </c>
      <c r="CH22" s="213" t="e">
        <f t="shared" si="85"/>
        <v>#REF!</v>
      </c>
      <c r="CI22" s="173" t="e">
        <f t="shared" si="86"/>
        <v>#REF!</v>
      </c>
      <c r="CJ22" s="189"/>
      <c r="CK22" s="189">
        <f>VLOOKUP($B22,'Average RAS salary'!$A$5:$D$62,4,FALSE)</f>
        <v>49292.432432432433</v>
      </c>
      <c r="CL22" s="189" t="e">
        <f t="shared" si="87"/>
        <v>#REF!</v>
      </c>
      <c r="CM22" s="189" t="e">
        <f>IF($AY22&gt;VLOOKUP($B22,#REF!,19,FALSE)*$CK$65,VLOOKUP($B22,#REF!,19,FALSE)*$CK$65,$AY22)</f>
        <v>#REF!</v>
      </c>
      <c r="CN22" s="189" t="e">
        <f t="shared" si="88"/>
        <v>#REF!</v>
      </c>
      <c r="CO22" s="189" t="e">
        <f t="shared" si="89"/>
        <v>#REF!</v>
      </c>
      <c r="CP22" s="189" t="e">
        <f t="shared" si="90"/>
        <v>#REF!</v>
      </c>
      <c r="CQ22" s="189" t="e">
        <f t="shared" si="91"/>
        <v>#REF!</v>
      </c>
      <c r="CR22" s="213" t="e">
        <f t="shared" si="92"/>
        <v>#REF!</v>
      </c>
      <c r="CS22" s="173" t="e">
        <f t="shared" si="93"/>
        <v>#REF!</v>
      </c>
      <c r="CT22" s="1"/>
      <c r="CU22" s="254">
        <v>0.20806999998631304</v>
      </c>
      <c r="CV22" s="252">
        <v>9187.9554838709682</v>
      </c>
      <c r="CW22" s="254">
        <v>0.20807000004030304</v>
      </c>
      <c r="CX22" s="255">
        <v>10637.229166666666</v>
      </c>
      <c r="CY22" s="190" t="e">
        <f>VLOOKUP($B22,#REF!,13,FALSE)</f>
        <v>#REF!</v>
      </c>
      <c r="CZ22" s="172" t="e">
        <f>VLOOKUP($B22,#REF!,14,FALSE)</f>
        <v>#REF!</v>
      </c>
      <c r="DA22" s="190" t="e">
        <f>VLOOKUP($B22,#REF!,15,FALSE)</f>
        <v>#REF!</v>
      </c>
      <c r="DB22" s="189" t="e">
        <f>VLOOKUP($B22,#REF!,16,FALSE)</f>
        <v>#REF!</v>
      </c>
      <c r="DC22" s="190" t="e">
        <f t="shared" si="94"/>
        <v>#REF!</v>
      </c>
      <c r="DD22" s="190" t="e">
        <f t="shared" si="95"/>
        <v>#REF!</v>
      </c>
      <c r="DE22" s="190" t="e">
        <f t="shared" si="96"/>
        <v>#REF!</v>
      </c>
      <c r="DF22" s="190" t="e">
        <f t="shared" si="97"/>
        <v>#REF!</v>
      </c>
      <c r="DG22" s="1"/>
      <c r="DH22" s="253" t="s">
        <v>272</v>
      </c>
      <c r="DI22" s="253">
        <v>0</v>
      </c>
      <c r="DJ22" s="173">
        <f t="shared" si="98"/>
        <v>0</v>
      </c>
      <c r="DK22" s="172" t="e">
        <f>IF(VLOOKUP($B22,#REF!,6,FALSE)="Y","Yes","")</f>
        <v>#REF!</v>
      </c>
      <c r="DL22" s="172" t="e">
        <f>VLOOKUP($B22,#REF!,4,FALSE)</f>
        <v>#REF!</v>
      </c>
      <c r="DM22" s="173" t="e">
        <f t="shared" si="15"/>
        <v>#REF!</v>
      </c>
      <c r="DN22" s="1"/>
      <c r="DO22" s="172">
        <f t="shared" si="99"/>
        <v>9140499.1139774099</v>
      </c>
      <c r="DP22" s="252">
        <v>8945780.9153750837</v>
      </c>
      <c r="DQ22" s="172">
        <f t="shared" si="100"/>
        <v>-194718.19860232621</v>
      </c>
      <c r="DR22" s="173">
        <f t="shared" si="16"/>
        <v>-2.1302797163950084E-2</v>
      </c>
      <c r="DS22" s="172">
        <f t="shared" si="101"/>
        <v>8945780.9153750837</v>
      </c>
      <c r="DT22" s="252">
        <v>9101508.6099725533</v>
      </c>
      <c r="DU22" s="172">
        <f t="shared" si="102"/>
        <v>155727.69459746964</v>
      </c>
      <c r="DV22" s="173">
        <f t="shared" si="103"/>
        <v>1.7037110627726549E-2</v>
      </c>
      <c r="DW22" s="172">
        <f t="shared" si="104"/>
        <v>9101508.6099725533</v>
      </c>
      <c r="DX22" s="252">
        <v>9135404.427763192</v>
      </c>
      <c r="DY22" s="172">
        <f t="shared" si="105"/>
        <v>33895.817790638655</v>
      </c>
      <c r="DZ22" s="173">
        <f t="shared" si="106"/>
        <v>3.7083114792720744E-3</v>
      </c>
      <c r="EA22" s="172">
        <f t="shared" si="107"/>
        <v>9135404.427763192</v>
      </c>
      <c r="EB22" s="252">
        <v>9127246.8298097774</v>
      </c>
      <c r="EC22" s="172">
        <f t="shared" si="108"/>
        <v>-8157.5979534145445</v>
      </c>
      <c r="ED22" s="173">
        <f t="shared" si="109"/>
        <v>-8.924674519075398E-4</v>
      </c>
      <c r="EE22" s="172">
        <f t="shared" si="110"/>
        <v>9127246.8298097774</v>
      </c>
      <c r="EF22" s="252">
        <v>9193287.0009192564</v>
      </c>
      <c r="EG22" s="172">
        <f t="shared" si="111"/>
        <v>66040.171109478921</v>
      </c>
      <c r="EH22" s="173">
        <f t="shared" si="112"/>
        <v>7.2250071124116228E-3</v>
      </c>
      <c r="EI22" s="172">
        <f t="shared" si="113"/>
        <v>9193287.0009192564</v>
      </c>
      <c r="EJ22" s="252">
        <v>9140499.1139774099</v>
      </c>
      <c r="EK22" s="172">
        <f t="shared" si="114"/>
        <v>-52787.88694184646</v>
      </c>
      <c r="EL22" s="173">
        <f t="shared" si="115"/>
        <v>-5.7751646035526238E-3</v>
      </c>
      <c r="EM22" s="172">
        <f t="shared" si="116"/>
        <v>0</v>
      </c>
      <c r="EN22" s="173">
        <f t="shared" si="17"/>
        <v>0</v>
      </c>
      <c r="EO22" s="214"/>
      <c r="EP22" s="273">
        <v>5303176.9875989519</v>
      </c>
      <c r="EQ22" s="273">
        <v>5303176.9875989519</v>
      </c>
      <c r="ER22" s="172">
        <f t="shared" si="117"/>
        <v>0</v>
      </c>
      <c r="ES22" s="173">
        <f t="shared" si="18"/>
        <v>0</v>
      </c>
      <c r="ET22" s="273">
        <v>2053154.6448966432</v>
      </c>
      <c r="EU22" s="273">
        <v>2053154.6448966432</v>
      </c>
      <c r="EV22" s="172">
        <f t="shared" si="118"/>
        <v>0</v>
      </c>
      <c r="EW22" s="173">
        <f t="shared" si="19"/>
        <v>0</v>
      </c>
      <c r="EX22" s="273">
        <v>2115054.13</v>
      </c>
      <c r="EY22" s="273">
        <v>2115054.13</v>
      </c>
      <c r="EZ22" s="172">
        <f t="shared" si="119"/>
        <v>0</v>
      </c>
      <c r="FA22" s="173">
        <f t="shared" si="20"/>
        <v>0</v>
      </c>
      <c r="FB22" s="172">
        <f t="shared" si="120"/>
        <v>5303176.9875989519</v>
      </c>
      <c r="FC22" s="273">
        <v>5412239.5704498114</v>
      </c>
      <c r="FD22" s="172">
        <f t="shared" si="121"/>
        <v>109062.5828508595</v>
      </c>
      <c r="FE22" s="173">
        <f t="shared" si="21"/>
        <v>2.0565518198976479E-2</v>
      </c>
      <c r="FF22" s="172">
        <f t="shared" si="122"/>
        <v>2053154.6448966432</v>
      </c>
      <c r="FG22" s="273">
        <v>2075847.2965100594</v>
      </c>
      <c r="FH22" s="172">
        <f t="shared" si="123"/>
        <v>22692.65161341615</v>
      </c>
      <c r="FI22" s="173">
        <f t="shared" si="22"/>
        <v>1.1052577880493025E-2</v>
      </c>
      <c r="FJ22" s="172">
        <f t="shared" si="124"/>
        <v>5412239.5704498114</v>
      </c>
      <c r="FK22" s="273">
        <v>5504069.8635588009</v>
      </c>
      <c r="FL22" s="172">
        <f t="shared" si="125"/>
        <v>91830.293108989485</v>
      </c>
      <c r="FM22" s="173">
        <f t="shared" si="23"/>
        <v>1.6967152306112249E-2</v>
      </c>
      <c r="FN22" s="172">
        <f t="shared" si="126"/>
        <v>2075847.2965100594</v>
      </c>
      <c r="FO22" s="273">
        <v>2094954.4255967999</v>
      </c>
      <c r="FP22" s="172">
        <f t="shared" si="127"/>
        <v>19107.129086740548</v>
      </c>
      <c r="FQ22" s="173">
        <f t="shared" si="24"/>
        <v>9.2044964573568082E-3</v>
      </c>
      <c r="FR22" s="172">
        <f t="shared" si="128"/>
        <v>2094954.4255967999</v>
      </c>
      <c r="FS22" s="273">
        <v>2136090.5774861434</v>
      </c>
      <c r="FT22" s="172">
        <f t="shared" si="129"/>
        <v>41136.151889343513</v>
      </c>
      <c r="FU22" s="173">
        <f t="shared" si="25"/>
        <v>1.9635821852126856E-2</v>
      </c>
      <c r="FV22" s="172">
        <f t="shared" si="26"/>
        <v>2115054.13</v>
      </c>
      <c r="FW22" s="273">
        <v>2298341.86</v>
      </c>
      <c r="FX22" s="172">
        <f t="shared" si="130"/>
        <v>183287.72999999998</v>
      </c>
      <c r="FY22" s="173">
        <f t="shared" si="27"/>
        <v>8.6658647360481497E-2</v>
      </c>
      <c r="FZ22" s="214"/>
      <c r="GA22" s="172">
        <f t="shared" si="28"/>
        <v>5303176.9875989519</v>
      </c>
      <c r="GB22" s="172">
        <f t="shared" si="29"/>
        <v>0</v>
      </c>
      <c r="GC22" s="172">
        <f t="shared" si="30"/>
        <v>109062.5828508595</v>
      </c>
      <c r="GD22" s="172">
        <f t="shared" si="31"/>
        <v>91830.293108989485</v>
      </c>
      <c r="GE22" s="172">
        <f t="shared" si="32"/>
        <v>200892.87595984899</v>
      </c>
      <c r="GF22" s="172">
        <f t="shared" si="33"/>
        <v>5504069.8635588009</v>
      </c>
      <c r="GG22" s="173">
        <f t="shared" si="34"/>
        <v>3.7881608784624883E-2</v>
      </c>
      <c r="GH22" s="244"/>
      <c r="GI22" s="172">
        <f t="shared" si="35"/>
        <v>2053154.6448966432</v>
      </c>
      <c r="GJ22" s="172">
        <f t="shared" si="36"/>
        <v>0</v>
      </c>
      <c r="GK22" s="172">
        <f t="shared" si="37"/>
        <v>22692.65161341615</v>
      </c>
      <c r="GL22" s="172">
        <f t="shared" si="38"/>
        <v>19107.129086740548</v>
      </c>
      <c r="GM22" s="172">
        <f t="shared" si="39"/>
        <v>41136.151889343513</v>
      </c>
      <c r="GN22" s="172">
        <f t="shared" si="40"/>
        <v>82935.932589500211</v>
      </c>
      <c r="GO22" s="172">
        <f t="shared" si="41"/>
        <v>2136090.5774861434</v>
      </c>
      <c r="GP22" s="173">
        <f t="shared" si="42"/>
        <v>4.0394391526058303E-2</v>
      </c>
      <c r="GQ22" s="214"/>
      <c r="GR22" s="172">
        <f t="shared" si="43"/>
        <v>2115054.13</v>
      </c>
      <c r="GS22" s="172">
        <f t="shared" si="44"/>
        <v>0</v>
      </c>
      <c r="GT22" s="172">
        <f t="shared" si="45"/>
        <v>183287.72999999998</v>
      </c>
      <c r="GU22" s="172">
        <f t="shared" si="131"/>
        <v>183287.72999999998</v>
      </c>
      <c r="GV22" s="172">
        <f t="shared" si="132"/>
        <v>2298341.86</v>
      </c>
      <c r="GW22" s="173">
        <f t="shared" si="133"/>
        <v>8.6658647360481497E-2</v>
      </c>
      <c r="GX22" s="214"/>
      <c r="GY22" s="273">
        <v>-330886.64851818682</v>
      </c>
      <c r="GZ22" s="172" t="e">
        <f t="shared" si="134"/>
        <v>#REF!</v>
      </c>
      <c r="HA22" s="172" t="e">
        <f>-VLOOKUP($B22,#REF!,23,FALSE)</f>
        <v>#REF!</v>
      </c>
    </row>
    <row r="23" spans="1:209" ht="15" customHeight="1" x14ac:dyDescent="0.45">
      <c r="A23" s="148">
        <v>2</v>
      </c>
      <c r="B23" s="215" t="s">
        <v>24</v>
      </c>
      <c r="C23" s="172">
        <v>2903720.1400660193</v>
      </c>
      <c r="D23" s="173">
        <f t="shared" si="0"/>
        <v>2.0157892392667727E-3</v>
      </c>
      <c r="E23" s="1"/>
      <c r="F23" s="252">
        <v>3950709.6200308902</v>
      </c>
      <c r="G23" s="173">
        <f t="shared" si="1"/>
        <v>1.6810668264782304E-3</v>
      </c>
      <c r="H23" s="173">
        <f t="shared" si="46"/>
        <v>0.83394969758331738</v>
      </c>
      <c r="I23" s="172" t="e">
        <f>VLOOKUP($B23,#REF!,24,FALSE)</f>
        <v>#REF!</v>
      </c>
      <c r="J23" s="173" t="e">
        <f t="shared" si="2"/>
        <v>#REF!</v>
      </c>
      <c r="K23" s="173" t="e">
        <f t="shared" si="47"/>
        <v>#REF!</v>
      </c>
      <c r="L23" s="172" t="e">
        <f t="shared" si="48"/>
        <v>#REF!</v>
      </c>
      <c r="M23" s="173" t="e">
        <f t="shared" si="49"/>
        <v>#REF!</v>
      </c>
      <c r="N23" s="173" t="e">
        <f t="shared" si="50"/>
        <v>#REF!</v>
      </c>
      <c r="O23" s="176"/>
      <c r="P23" s="253">
        <v>47</v>
      </c>
      <c r="Q23" s="173">
        <f t="shared" si="3"/>
        <v>2.6143063744576704E-3</v>
      </c>
      <c r="R23" s="172" t="e">
        <f>VLOOKUP($B23,#REF!,4,FALSE)</f>
        <v>#REF!</v>
      </c>
      <c r="S23" s="173" t="e">
        <f t="shared" si="4"/>
        <v>#REF!</v>
      </c>
      <c r="T23" s="172" t="e">
        <f t="shared" si="51"/>
        <v>#REF!</v>
      </c>
      <c r="U23" s="173" t="e">
        <f t="shared" si="52"/>
        <v>#REF!</v>
      </c>
      <c r="V23" s="173" t="e">
        <f t="shared" si="53"/>
        <v>#REF!</v>
      </c>
      <c r="W23" s="1"/>
      <c r="X23" s="189">
        <f>VLOOKUP($B23,'Average RAS salary'!$A$5:$D$62,4,FALSE)</f>
        <v>54042.30350877194</v>
      </c>
      <c r="Y23" s="253">
        <v>43825.148477995805</v>
      </c>
      <c r="Z23" s="252" t="s">
        <v>273</v>
      </c>
      <c r="AA23" s="252" t="s">
        <v>273</v>
      </c>
      <c r="AB23" s="173">
        <f t="shared" si="5"/>
        <v>0.75125540482652398</v>
      </c>
      <c r="AC23" s="172" t="e">
        <f>VLOOKUP($B23,#REF!,3,FALSE)</f>
        <v>#REF!</v>
      </c>
      <c r="AD23" s="172" t="e">
        <f>VLOOKUP($B23,#REF!,5,FALSE)</f>
        <v>#REF!</v>
      </c>
      <c r="AE23" s="172" t="e">
        <f>VLOOKUP($B23,#REF!,6,FALSE)</f>
        <v>#REF!</v>
      </c>
      <c r="AF23" s="173" t="e">
        <f t="shared" si="6"/>
        <v>#REF!</v>
      </c>
      <c r="AG23" s="172" t="e">
        <f t="shared" si="54"/>
        <v>#REF!</v>
      </c>
      <c r="AH23" s="173" t="e">
        <f t="shared" si="7"/>
        <v>#REF!</v>
      </c>
      <c r="AI23" s="173" t="e">
        <f t="shared" si="8"/>
        <v>#REF!</v>
      </c>
      <c r="AJ23" s="189">
        <v>46490.222222222219</v>
      </c>
      <c r="AK23" s="189">
        <f>VLOOKUP($B23,'Average RAS salary'!$A$5:$D$62,4,FALSE)</f>
        <v>54042.30350877194</v>
      </c>
      <c r="AL23" s="189">
        <f t="shared" si="55"/>
        <v>7552.081286549721</v>
      </c>
      <c r="AM23" s="173">
        <f t="shared" si="56"/>
        <v>0.16244450823338596</v>
      </c>
      <c r="AN23" s="189" t="e">
        <f t="shared" si="57"/>
        <v>#REF!</v>
      </c>
      <c r="AO23" s="189" t="e">
        <f t="shared" si="58"/>
        <v>#REF!</v>
      </c>
      <c r="AP23" s="189" t="e">
        <f t="shared" si="59"/>
        <v>#REF!</v>
      </c>
      <c r="AQ23" s="189" t="e">
        <f t="shared" si="135"/>
        <v>#REF!</v>
      </c>
      <c r="AR23" s="189" t="e">
        <f t="shared" si="60"/>
        <v>#REF!</v>
      </c>
      <c r="AS23" s="189" t="e">
        <f t="shared" si="9"/>
        <v>#REF!</v>
      </c>
      <c r="AT23" s="213" t="e">
        <f t="shared" si="61"/>
        <v>#REF!</v>
      </c>
      <c r="AU23" s="173" t="e">
        <f t="shared" si="62"/>
        <v>#REF!</v>
      </c>
      <c r="AV23" s="189"/>
      <c r="AW23" s="189">
        <f>VLOOKUP($B23,'Average RAS salary'!$A$5:$D$62,4,FALSE)</f>
        <v>54042.30350877194</v>
      </c>
      <c r="AX23" s="189" t="e">
        <f t="shared" si="10"/>
        <v>#REF!</v>
      </c>
      <c r="AY23" s="189">
        <v>39865.262959708809</v>
      </c>
      <c r="AZ23" s="189" t="e">
        <f t="shared" si="11"/>
        <v>#REF!</v>
      </c>
      <c r="BA23" s="189" t="e">
        <f t="shared" si="63"/>
        <v>#REF!</v>
      </c>
      <c r="BB23" s="189" t="e">
        <f t="shared" si="64"/>
        <v>#REF!</v>
      </c>
      <c r="BC23" s="189" t="e">
        <f t="shared" si="65"/>
        <v>#REF!</v>
      </c>
      <c r="BD23" s="213">
        <f t="shared" si="66"/>
        <v>-14177.040549063131</v>
      </c>
      <c r="BE23" s="173">
        <f t="shared" si="67"/>
        <v>-0.26233227728277658</v>
      </c>
      <c r="BF23" s="189"/>
      <c r="BG23" s="189">
        <f>VLOOKUP($B23,'Average RAS salary'!$A$5:$D$62,4,FALSE)</f>
        <v>54042.30350877194</v>
      </c>
      <c r="BH23" s="189" t="e">
        <f t="shared" si="68"/>
        <v>#REF!</v>
      </c>
      <c r="BI23" s="189" t="e">
        <f>$BG$65*#REF!</f>
        <v>#REF!</v>
      </c>
      <c r="BJ23" s="189" t="e">
        <f t="shared" si="69"/>
        <v>#REF!</v>
      </c>
      <c r="BK23" s="189" t="e">
        <f t="shared" si="12"/>
        <v>#REF!</v>
      </c>
      <c r="BL23" s="189" t="e">
        <f t="shared" si="13"/>
        <v>#REF!</v>
      </c>
      <c r="BM23" s="189" t="e">
        <f t="shared" si="70"/>
        <v>#REF!</v>
      </c>
      <c r="BN23" s="213" t="e">
        <f t="shared" si="71"/>
        <v>#REF!</v>
      </c>
      <c r="BO23" s="173" t="e">
        <f t="shared" si="72"/>
        <v>#REF!</v>
      </c>
      <c r="BP23" s="189"/>
      <c r="BQ23" s="189">
        <f>VLOOKUP($B23,'Average RAS salary'!$A$5:$D$62,4,FALSE)</f>
        <v>54042.30350877194</v>
      </c>
      <c r="BR23" s="189" t="e">
        <f t="shared" si="73"/>
        <v>#REF!</v>
      </c>
      <c r="BS23" s="189" t="e">
        <f>VLOOKUP($B23,#REF!,19,FALSE)*$BQ$65</f>
        <v>#REF!</v>
      </c>
      <c r="BT23" s="189" t="e">
        <f t="shared" si="74"/>
        <v>#REF!</v>
      </c>
      <c r="BU23" s="189" t="e">
        <f t="shared" si="75"/>
        <v>#REF!</v>
      </c>
      <c r="BV23" s="189" t="e">
        <f t="shared" si="76"/>
        <v>#REF!</v>
      </c>
      <c r="BW23" s="189" t="e">
        <f t="shared" si="77"/>
        <v>#REF!</v>
      </c>
      <c r="BX23" s="213" t="e">
        <f t="shared" si="78"/>
        <v>#REF!</v>
      </c>
      <c r="BY23" s="173" t="e">
        <f t="shared" si="79"/>
        <v>#REF!</v>
      </c>
      <c r="BZ23" s="189"/>
      <c r="CA23" s="189">
        <f>VLOOKUP($B23,'Average RAS salary'!$A$5:$D$62,4,FALSE)</f>
        <v>54042.30350877194</v>
      </c>
      <c r="CB23" s="189" t="e">
        <f t="shared" si="80"/>
        <v>#REF!</v>
      </c>
      <c r="CC23" s="189" t="e">
        <f>IF(VLOOKUP($B23,#REF!,7,FALSE)&gt;VLOOKUP($B23,#REF!,19,FALSE)*$CA$65,VLOOKUP($B23,#REF!,19,FALSE)*$CA$65,VLOOKUP($B23,#REF!,7,FALSE))</f>
        <v>#REF!</v>
      </c>
      <c r="CD23" s="189" t="e">
        <f t="shared" si="81"/>
        <v>#REF!</v>
      </c>
      <c r="CE23" s="189" t="e">
        <f t="shared" si="82"/>
        <v>#REF!</v>
      </c>
      <c r="CF23" s="189" t="e">
        <f t="shared" si="83"/>
        <v>#REF!</v>
      </c>
      <c r="CG23" s="189" t="e">
        <f t="shared" si="84"/>
        <v>#REF!</v>
      </c>
      <c r="CH23" s="213" t="e">
        <f t="shared" si="85"/>
        <v>#REF!</v>
      </c>
      <c r="CI23" s="173" t="e">
        <f t="shared" si="86"/>
        <v>#REF!</v>
      </c>
      <c r="CJ23" s="189"/>
      <c r="CK23" s="189">
        <f>VLOOKUP($B23,'Average RAS salary'!$A$5:$D$62,4,FALSE)</f>
        <v>54042.30350877194</v>
      </c>
      <c r="CL23" s="189" t="e">
        <f t="shared" si="87"/>
        <v>#REF!</v>
      </c>
      <c r="CM23" s="189" t="e">
        <f>IF($AY23&gt;VLOOKUP($B23,#REF!,19,FALSE)*$CK$65,VLOOKUP($B23,#REF!,19,FALSE)*$CK$65,$AY23)</f>
        <v>#REF!</v>
      </c>
      <c r="CN23" s="189" t="e">
        <f t="shared" si="88"/>
        <v>#REF!</v>
      </c>
      <c r="CO23" s="189" t="e">
        <f t="shared" si="89"/>
        <v>#REF!</v>
      </c>
      <c r="CP23" s="189" t="e">
        <f t="shared" si="90"/>
        <v>#REF!</v>
      </c>
      <c r="CQ23" s="189" t="e">
        <f t="shared" si="91"/>
        <v>#REF!</v>
      </c>
      <c r="CR23" s="213" t="e">
        <f t="shared" si="92"/>
        <v>#REF!</v>
      </c>
      <c r="CS23" s="173" t="e">
        <f t="shared" si="93"/>
        <v>#REF!</v>
      </c>
      <c r="CT23" s="1"/>
      <c r="CU23" s="254">
        <v>0.22127000044657813</v>
      </c>
      <c r="CV23" s="252">
        <v>8593.3443243243255</v>
      </c>
      <c r="CW23" s="254">
        <v>0.221270000114696</v>
      </c>
      <c r="CX23" s="255">
        <v>10382.866153846155</v>
      </c>
      <c r="CY23" s="190" t="e">
        <f>VLOOKUP($B23,#REF!,13,FALSE)</f>
        <v>#REF!</v>
      </c>
      <c r="CZ23" s="172" t="e">
        <f>VLOOKUP($B23,#REF!,14,FALSE)</f>
        <v>#REF!</v>
      </c>
      <c r="DA23" s="190" t="e">
        <f>VLOOKUP($B23,#REF!,15,FALSE)</f>
        <v>#REF!</v>
      </c>
      <c r="DB23" s="189" t="e">
        <f>VLOOKUP($B23,#REF!,16,FALSE)</f>
        <v>#REF!</v>
      </c>
      <c r="DC23" s="190" t="e">
        <f t="shared" si="94"/>
        <v>#REF!</v>
      </c>
      <c r="DD23" s="190" t="e">
        <f t="shared" si="95"/>
        <v>#REF!</v>
      </c>
      <c r="DE23" s="190" t="e">
        <f t="shared" si="96"/>
        <v>#REF!</v>
      </c>
      <c r="DF23" s="190" t="e">
        <f t="shared" si="97"/>
        <v>#REF!</v>
      </c>
      <c r="DG23" s="1"/>
      <c r="DH23" s="253" t="s">
        <v>272</v>
      </c>
      <c r="DI23" s="253">
        <v>0</v>
      </c>
      <c r="DJ23" s="173">
        <f t="shared" si="98"/>
        <v>0</v>
      </c>
      <c r="DK23" s="172" t="e">
        <f>IF(VLOOKUP($B23,#REF!,6,FALSE)="Y","Yes","")</f>
        <v>#REF!</v>
      </c>
      <c r="DL23" s="172" t="e">
        <f>VLOOKUP($B23,#REF!,4,FALSE)</f>
        <v>#REF!</v>
      </c>
      <c r="DM23" s="173" t="e">
        <f t="shared" si="15"/>
        <v>#REF!</v>
      </c>
      <c r="DN23" s="1"/>
      <c r="DO23" s="172">
        <f t="shared" si="99"/>
        <v>3950709.6200308902</v>
      </c>
      <c r="DP23" s="252">
        <v>3758542.6417733501</v>
      </c>
      <c r="DQ23" s="172">
        <f t="shared" si="100"/>
        <v>-192166.97825754015</v>
      </c>
      <c r="DR23" s="173">
        <f t="shared" si="16"/>
        <v>-4.8641129503220137E-2</v>
      </c>
      <c r="DS23" s="172">
        <f t="shared" si="101"/>
        <v>3758542.6417733501</v>
      </c>
      <c r="DT23" s="252">
        <v>3820784.2213719278</v>
      </c>
      <c r="DU23" s="172">
        <f t="shared" si="102"/>
        <v>62241.579598577693</v>
      </c>
      <c r="DV23" s="173">
        <f t="shared" si="103"/>
        <v>1.5754531611992032E-2</v>
      </c>
      <c r="DW23" s="172">
        <f t="shared" si="104"/>
        <v>3820784.2213719278</v>
      </c>
      <c r="DX23" s="252">
        <v>3843825.9948444017</v>
      </c>
      <c r="DY23" s="172">
        <f t="shared" si="105"/>
        <v>23041.773472473957</v>
      </c>
      <c r="DZ23" s="173">
        <f t="shared" si="106"/>
        <v>5.8323125940837424E-3</v>
      </c>
      <c r="EA23" s="172">
        <f t="shared" si="107"/>
        <v>3843825.9948444017</v>
      </c>
      <c r="EB23" s="252">
        <v>3927416.7689287597</v>
      </c>
      <c r="EC23" s="172">
        <f t="shared" si="108"/>
        <v>83590.77408435801</v>
      </c>
      <c r="ED23" s="173">
        <f t="shared" si="109"/>
        <v>2.1158420163440012E-2</v>
      </c>
      <c r="EE23" s="172">
        <f t="shared" si="110"/>
        <v>3927416.7689287597</v>
      </c>
      <c r="EF23" s="252">
        <v>3958148.3337024772</v>
      </c>
      <c r="EG23" s="172">
        <f t="shared" si="111"/>
        <v>30731.564773717429</v>
      </c>
      <c r="EH23" s="173">
        <f t="shared" si="112"/>
        <v>7.7787455240704685E-3</v>
      </c>
      <c r="EI23" s="172">
        <f t="shared" si="113"/>
        <v>3958148.3337024772</v>
      </c>
      <c r="EJ23" s="252">
        <v>3950709.6200308902</v>
      </c>
      <c r="EK23" s="172">
        <f t="shared" si="114"/>
        <v>-7438.7136715869419</v>
      </c>
      <c r="EL23" s="173">
        <f t="shared" si="115"/>
        <v>-1.8828803903661183E-3</v>
      </c>
      <c r="EM23" s="172">
        <f t="shared" si="116"/>
        <v>0</v>
      </c>
      <c r="EN23" s="173">
        <f t="shared" si="17"/>
        <v>0</v>
      </c>
      <c r="EO23" s="214"/>
      <c r="EP23" s="273">
        <v>2219433.7118090903</v>
      </c>
      <c r="EQ23" s="273">
        <v>2219433.7118090903</v>
      </c>
      <c r="ER23" s="172">
        <f t="shared" si="117"/>
        <v>0</v>
      </c>
      <c r="ES23" s="173">
        <f t="shared" si="18"/>
        <v>0</v>
      </c>
      <c r="ET23" s="273">
        <v>907507.93432253634</v>
      </c>
      <c r="EU23" s="273">
        <v>907507.93432253634</v>
      </c>
      <c r="EV23" s="172">
        <f t="shared" si="118"/>
        <v>0</v>
      </c>
      <c r="EW23" s="173">
        <f t="shared" si="19"/>
        <v>0</v>
      </c>
      <c r="EX23" s="273">
        <v>984233.1100000001</v>
      </c>
      <c r="EY23" s="273">
        <v>984233.1100000001</v>
      </c>
      <c r="EZ23" s="172">
        <f t="shared" si="119"/>
        <v>0</v>
      </c>
      <c r="FA23" s="173">
        <f t="shared" si="20"/>
        <v>0</v>
      </c>
      <c r="FB23" s="172">
        <f t="shared" si="120"/>
        <v>2219433.7118090903</v>
      </c>
      <c r="FC23" s="273">
        <v>2266718.7225412442</v>
      </c>
      <c r="FD23" s="172">
        <f t="shared" si="121"/>
        <v>47285.010732153896</v>
      </c>
      <c r="FE23" s="173">
        <f t="shared" si="21"/>
        <v>2.1304988962076839E-2</v>
      </c>
      <c r="FF23" s="172">
        <f t="shared" si="122"/>
        <v>907507.93432253634</v>
      </c>
      <c r="FG23" s="273">
        <v>917970.68866469199</v>
      </c>
      <c r="FH23" s="172">
        <f t="shared" si="123"/>
        <v>10462.754342155647</v>
      </c>
      <c r="FI23" s="173">
        <f t="shared" si="22"/>
        <v>1.152910508707144E-2</v>
      </c>
      <c r="FJ23" s="172">
        <f t="shared" si="124"/>
        <v>2266718.7225412442</v>
      </c>
      <c r="FK23" s="273">
        <v>2612678.7519461391</v>
      </c>
      <c r="FL23" s="172">
        <f t="shared" si="125"/>
        <v>345960.02940489491</v>
      </c>
      <c r="FM23" s="173">
        <f t="shared" si="23"/>
        <v>0.1526259195569864</v>
      </c>
      <c r="FN23" s="172">
        <f t="shared" si="126"/>
        <v>917970.68866469199</v>
      </c>
      <c r="FO23" s="273">
        <v>994521.26450349775</v>
      </c>
      <c r="FP23" s="172">
        <f t="shared" si="127"/>
        <v>76550.575838805758</v>
      </c>
      <c r="FQ23" s="173">
        <f t="shared" si="24"/>
        <v>8.3391089480382596E-2</v>
      </c>
      <c r="FR23" s="172">
        <f t="shared" si="128"/>
        <v>994521.26450349775</v>
      </c>
      <c r="FS23" s="273">
        <v>1079782.3906091363</v>
      </c>
      <c r="FT23" s="172">
        <f t="shared" si="129"/>
        <v>85261.12610563857</v>
      </c>
      <c r="FU23" s="173">
        <f t="shared" si="25"/>
        <v>8.5730822606597673E-2</v>
      </c>
      <c r="FV23" s="172">
        <f t="shared" si="26"/>
        <v>984233.1100000001</v>
      </c>
      <c r="FW23" s="273">
        <v>1069525.42</v>
      </c>
      <c r="FX23" s="172">
        <f t="shared" si="130"/>
        <v>85292.309999999823</v>
      </c>
      <c r="FY23" s="173">
        <f t="shared" si="27"/>
        <v>8.6658647360481317E-2</v>
      </c>
      <c r="FZ23" s="214"/>
      <c r="GA23" s="172">
        <f t="shared" si="28"/>
        <v>2219433.7118090903</v>
      </c>
      <c r="GB23" s="172">
        <f t="shared" si="29"/>
        <v>0</v>
      </c>
      <c r="GC23" s="172">
        <f t="shared" si="30"/>
        <v>47285.010732153896</v>
      </c>
      <c r="GD23" s="172">
        <f t="shared" si="31"/>
        <v>345960.02940489491</v>
      </c>
      <c r="GE23" s="172">
        <f t="shared" si="32"/>
        <v>393245.04013704881</v>
      </c>
      <c r="GF23" s="172">
        <f t="shared" si="33"/>
        <v>2612678.7519461391</v>
      </c>
      <c r="GG23" s="173">
        <f t="shared" si="34"/>
        <v>0.17718260205055167</v>
      </c>
      <c r="GH23" s="244"/>
      <c r="GI23" s="172">
        <f t="shared" si="35"/>
        <v>907507.93432253634</v>
      </c>
      <c r="GJ23" s="172">
        <f t="shared" si="36"/>
        <v>0</v>
      </c>
      <c r="GK23" s="172">
        <f t="shared" si="37"/>
        <v>10462.754342155647</v>
      </c>
      <c r="GL23" s="172">
        <f t="shared" si="38"/>
        <v>76550.575838805758</v>
      </c>
      <c r="GM23" s="172">
        <f t="shared" si="39"/>
        <v>85261.12610563857</v>
      </c>
      <c r="GN23" s="172">
        <f t="shared" si="40"/>
        <v>172274.45628659998</v>
      </c>
      <c r="GO23" s="172">
        <f t="shared" si="41"/>
        <v>1079782.3906091363</v>
      </c>
      <c r="GP23" s="173">
        <f t="shared" si="42"/>
        <v>0.18983245189498488</v>
      </c>
      <c r="GQ23" s="214"/>
      <c r="GR23" s="172">
        <f t="shared" si="43"/>
        <v>984233.1100000001</v>
      </c>
      <c r="GS23" s="172">
        <f t="shared" si="44"/>
        <v>0</v>
      </c>
      <c r="GT23" s="172">
        <f t="shared" si="45"/>
        <v>85292.309999999823</v>
      </c>
      <c r="GU23" s="172">
        <f t="shared" si="131"/>
        <v>85292.309999999823</v>
      </c>
      <c r="GV23" s="172">
        <f t="shared" si="132"/>
        <v>1069525.42</v>
      </c>
      <c r="GW23" s="173">
        <f t="shared" si="133"/>
        <v>8.6658647360481317E-2</v>
      </c>
      <c r="GX23" s="214"/>
      <c r="GY23" s="273">
        <v>-160465.1361007365</v>
      </c>
      <c r="GZ23" s="172" t="e">
        <f t="shared" si="134"/>
        <v>#REF!</v>
      </c>
      <c r="HA23" s="172" t="e">
        <f>-VLOOKUP($B23,#REF!,23,FALSE)</f>
        <v>#REF!</v>
      </c>
    </row>
    <row r="24" spans="1:209" ht="15" customHeight="1" x14ac:dyDescent="0.45">
      <c r="A24" s="148">
        <v>1</v>
      </c>
      <c r="B24" s="215" t="s">
        <v>11</v>
      </c>
      <c r="C24" s="172">
        <v>1890662.4820518906</v>
      </c>
      <c r="D24" s="173">
        <f t="shared" si="0"/>
        <v>1.3125152916144862E-3</v>
      </c>
      <c r="E24" s="1"/>
      <c r="F24" s="252">
        <v>2540015.8000450134</v>
      </c>
      <c r="G24" s="173">
        <f t="shared" si="1"/>
        <v>1.0808023648553669E-3</v>
      </c>
      <c r="H24" s="173">
        <f t="shared" si="46"/>
        <v>0.82345887454454259</v>
      </c>
      <c r="I24" s="172" t="e">
        <f>VLOOKUP($B24,#REF!,24,FALSE)</f>
        <v>#REF!</v>
      </c>
      <c r="J24" s="173" t="e">
        <f t="shared" si="2"/>
        <v>#REF!</v>
      </c>
      <c r="K24" s="173" t="e">
        <f t="shared" si="47"/>
        <v>#REF!</v>
      </c>
      <c r="L24" s="172" t="e">
        <f t="shared" si="48"/>
        <v>#REF!</v>
      </c>
      <c r="M24" s="173" t="e">
        <f t="shared" si="49"/>
        <v>#REF!</v>
      </c>
      <c r="N24" s="173" t="e">
        <f t="shared" si="50"/>
        <v>#REF!</v>
      </c>
      <c r="O24" s="176"/>
      <c r="P24" s="253">
        <v>26</v>
      </c>
      <c r="Q24" s="173">
        <f t="shared" si="3"/>
        <v>1.4462120369340304E-3</v>
      </c>
      <c r="R24" s="172" t="e">
        <f>VLOOKUP($B24,#REF!,4,FALSE)</f>
        <v>#REF!</v>
      </c>
      <c r="S24" s="173" t="e">
        <f t="shared" si="4"/>
        <v>#REF!</v>
      </c>
      <c r="T24" s="172" t="e">
        <f t="shared" si="51"/>
        <v>#REF!</v>
      </c>
      <c r="U24" s="173" t="e">
        <f t="shared" si="52"/>
        <v>#REF!</v>
      </c>
      <c r="V24" s="173" t="e">
        <f t="shared" si="53"/>
        <v>#REF!</v>
      </c>
      <c r="W24" s="1"/>
      <c r="X24" s="189">
        <f>VLOOKUP($B24,'Average RAS salary'!$A$5:$D$62,4,FALSE)</f>
        <v>52812.807894736827</v>
      </c>
      <c r="Y24" s="253">
        <v>46554.29774742078</v>
      </c>
      <c r="Z24" s="252" t="s">
        <v>273</v>
      </c>
      <c r="AA24" s="252" t="s">
        <v>272</v>
      </c>
      <c r="AB24" s="173">
        <f t="shared" si="5"/>
        <v>0.79803877488774133</v>
      </c>
      <c r="AC24" s="172" t="e">
        <f>VLOOKUP($B24,#REF!,3,FALSE)</f>
        <v>#REF!</v>
      </c>
      <c r="AD24" s="172" t="e">
        <f>VLOOKUP($B24,#REF!,5,FALSE)</f>
        <v>#REF!</v>
      </c>
      <c r="AE24" s="172" t="e">
        <f>VLOOKUP($B24,#REF!,6,FALSE)</f>
        <v>#REF!</v>
      </c>
      <c r="AF24" s="173" t="e">
        <f t="shared" si="6"/>
        <v>#REF!</v>
      </c>
      <c r="AG24" s="172" t="e">
        <f t="shared" si="54"/>
        <v>#REF!</v>
      </c>
      <c r="AH24" s="173" t="e">
        <f t="shared" si="7"/>
        <v>#REF!</v>
      </c>
      <c r="AI24" s="173" t="e">
        <f t="shared" si="8"/>
        <v>#REF!</v>
      </c>
      <c r="AJ24" s="189">
        <v>48657.807547169803</v>
      </c>
      <c r="AK24" s="189">
        <f>VLOOKUP($B24,'Average RAS salary'!$A$5:$D$62,4,FALSE)</f>
        <v>52812.807894736827</v>
      </c>
      <c r="AL24" s="189">
        <f t="shared" si="55"/>
        <v>4155.0003475670237</v>
      </c>
      <c r="AM24" s="173">
        <f t="shared" si="56"/>
        <v>8.539226399666873E-2</v>
      </c>
      <c r="AN24" s="189" t="e">
        <f t="shared" si="57"/>
        <v>#REF!</v>
      </c>
      <c r="AO24" s="189" t="e">
        <f t="shared" si="58"/>
        <v>#REF!</v>
      </c>
      <c r="AP24" s="189" t="e">
        <f t="shared" si="59"/>
        <v>#REF!</v>
      </c>
      <c r="AQ24" s="189" t="e">
        <f t="shared" si="135"/>
        <v>#REF!</v>
      </c>
      <c r="AR24" s="189" t="e">
        <f t="shared" si="60"/>
        <v>#REF!</v>
      </c>
      <c r="AS24" s="189" t="e">
        <f t="shared" si="9"/>
        <v>#REF!</v>
      </c>
      <c r="AT24" s="213" t="e">
        <f t="shared" si="61"/>
        <v>#REF!</v>
      </c>
      <c r="AU24" s="173" t="e">
        <f t="shared" si="62"/>
        <v>#REF!</v>
      </c>
      <c r="AV24" s="189"/>
      <c r="AW24" s="189">
        <f>VLOOKUP($B24,'Average RAS salary'!$A$5:$D$62,4,FALSE)</f>
        <v>52812.807894736827</v>
      </c>
      <c r="AX24" s="189" t="e">
        <f t="shared" si="10"/>
        <v>#REF!</v>
      </c>
      <c r="AY24" s="189">
        <v>41110.68309059985</v>
      </c>
      <c r="AZ24" s="189" t="e">
        <f t="shared" si="11"/>
        <v>#REF!</v>
      </c>
      <c r="BA24" s="189" t="e">
        <f t="shared" si="63"/>
        <v>#REF!</v>
      </c>
      <c r="BB24" s="189" t="e">
        <f t="shared" si="64"/>
        <v>#REF!</v>
      </c>
      <c r="BC24" s="189" t="e">
        <f t="shared" si="65"/>
        <v>#REF!</v>
      </c>
      <c r="BD24" s="213">
        <f t="shared" si="66"/>
        <v>-11702.124804136976</v>
      </c>
      <c r="BE24" s="173">
        <f t="shared" si="67"/>
        <v>-0.22157740272891599</v>
      </c>
      <c r="BF24" s="189"/>
      <c r="BG24" s="189">
        <f>VLOOKUP($B24,'Average RAS salary'!$A$5:$D$62,4,FALSE)</f>
        <v>52812.807894736827</v>
      </c>
      <c r="BH24" s="189" t="e">
        <f t="shared" si="68"/>
        <v>#REF!</v>
      </c>
      <c r="BI24" s="189" t="e">
        <f>$BG$65*#REF!</f>
        <v>#REF!</v>
      </c>
      <c r="BJ24" s="189" t="e">
        <f t="shared" si="69"/>
        <v>#REF!</v>
      </c>
      <c r="BK24" s="189" t="e">
        <f t="shared" si="12"/>
        <v>#REF!</v>
      </c>
      <c r="BL24" s="189" t="e">
        <f t="shared" si="13"/>
        <v>#REF!</v>
      </c>
      <c r="BM24" s="189" t="e">
        <f t="shared" si="70"/>
        <v>#REF!</v>
      </c>
      <c r="BN24" s="213" t="e">
        <f t="shared" si="71"/>
        <v>#REF!</v>
      </c>
      <c r="BO24" s="173" t="e">
        <f t="shared" si="72"/>
        <v>#REF!</v>
      </c>
      <c r="BP24" s="189"/>
      <c r="BQ24" s="189">
        <f>VLOOKUP($B24,'Average RAS salary'!$A$5:$D$62,4,FALSE)</f>
        <v>52812.807894736827</v>
      </c>
      <c r="BR24" s="189" t="e">
        <f t="shared" si="73"/>
        <v>#REF!</v>
      </c>
      <c r="BS24" s="189" t="e">
        <f>VLOOKUP($B24,#REF!,19,FALSE)*$BQ$65</f>
        <v>#REF!</v>
      </c>
      <c r="BT24" s="189" t="e">
        <f t="shared" si="74"/>
        <v>#REF!</v>
      </c>
      <c r="BU24" s="189" t="e">
        <f t="shared" si="75"/>
        <v>#REF!</v>
      </c>
      <c r="BV24" s="189" t="e">
        <f t="shared" si="76"/>
        <v>#REF!</v>
      </c>
      <c r="BW24" s="189" t="e">
        <f t="shared" si="77"/>
        <v>#REF!</v>
      </c>
      <c r="BX24" s="213" t="e">
        <f t="shared" si="78"/>
        <v>#REF!</v>
      </c>
      <c r="BY24" s="173" t="e">
        <f t="shared" si="79"/>
        <v>#REF!</v>
      </c>
      <c r="BZ24" s="189"/>
      <c r="CA24" s="189">
        <f>VLOOKUP($B24,'Average RAS salary'!$A$5:$D$62,4,FALSE)</f>
        <v>52812.807894736827</v>
      </c>
      <c r="CB24" s="189" t="e">
        <f t="shared" si="80"/>
        <v>#REF!</v>
      </c>
      <c r="CC24" s="189" t="e">
        <f>IF(VLOOKUP($B24,#REF!,7,FALSE)&gt;VLOOKUP($B24,#REF!,19,FALSE)*$CA$65,VLOOKUP($B24,#REF!,19,FALSE)*$CA$65,VLOOKUP($B24,#REF!,7,FALSE))</f>
        <v>#REF!</v>
      </c>
      <c r="CD24" s="189" t="e">
        <f t="shared" si="81"/>
        <v>#REF!</v>
      </c>
      <c r="CE24" s="189" t="e">
        <f t="shared" si="82"/>
        <v>#REF!</v>
      </c>
      <c r="CF24" s="189" t="e">
        <f t="shared" si="83"/>
        <v>#REF!</v>
      </c>
      <c r="CG24" s="189" t="e">
        <f t="shared" si="84"/>
        <v>#REF!</v>
      </c>
      <c r="CH24" s="213" t="e">
        <f t="shared" si="85"/>
        <v>#REF!</v>
      </c>
      <c r="CI24" s="173" t="e">
        <f t="shared" si="86"/>
        <v>#REF!</v>
      </c>
      <c r="CJ24" s="189"/>
      <c r="CK24" s="189">
        <f>VLOOKUP($B24,'Average RAS salary'!$A$5:$D$62,4,FALSE)</f>
        <v>52812.807894736827</v>
      </c>
      <c r="CL24" s="189" t="e">
        <f t="shared" si="87"/>
        <v>#REF!</v>
      </c>
      <c r="CM24" s="189" t="e">
        <f>IF($AY24&gt;VLOOKUP($B24,#REF!,19,FALSE)*$CK$65,VLOOKUP($B24,#REF!,19,FALSE)*$CK$65,$AY24)</f>
        <v>#REF!</v>
      </c>
      <c r="CN24" s="189" t="e">
        <f t="shared" si="88"/>
        <v>#REF!</v>
      </c>
      <c r="CO24" s="189" t="e">
        <f t="shared" si="89"/>
        <v>#REF!</v>
      </c>
      <c r="CP24" s="189" t="e">
        <f t="shared" si="90"/>
        <v>#REF!</v>
      </c>
      <c r="CQ24" s="189" t="e">
        <f t="shared" si="91"/>
        <v>#REF!</v>
      </c>
      <c r="CR24" s="213" t="e">
        <f t="shared" si="92"/>
        <v>#REF!</v>
      </c>
      <c r="CS24" s="173" t="e">
        <f t="shared" si="93"/>
        <v>#REF!</v>
      </c>
      <c r="CT24" s="1"/>
      <c r="CU24" s="254">
        <v>0.22281000040012941</v>
      </c>
      <c r="CV24" s="252">
        <v>11181.414920634918</v>
      </c>
      <c r="CW24" s="254">
        <v>0.22280999965749906</v>
      </c>
      <c r="CX24" s="255">
        <v>11353.726666666667</v>
      </c>
      <c r="CY24" s="190" t="e">
        <f>VLOOKUP($B24,#REF!,13,FALSE)</f>
        <v>#REF!</v>
      </c>
      <c r="CZ24" s="172" t="e">
        <f>VLOOKUP($B24,#REF!,14,FALSE)</f>
        <v>#REF!</v>
      </c>
      <c r="DA24" s="190" t="e">
        <f>VLOOKUP($B24,#REF!,15,FALSE)</f>
        <v>#REF!</v>
      </c>
      <c r="DB24" s="189" t="e">
        <f>VLOOKUP($B24,#REF!,16,FALSE)</f>
        <v>#REF!</v>
      </c>
      <c r="DC24" s="190" t="e">
        <f t="shared" si="94"/>
        <v>#REF!</v>
      </c>
      <c r="DD24" s="190" t="e">
        <f t="shared" si="95"/>
        <v>#REF!</v>
      </c>
      <c r="DE24" s="190" t="e">
        <f t="shared" si="96"/>
        <v>#REF!</v>
      </c>
      <c r="DF24" s="190" t="e">
        <f t="shared" si="97"/>
        <v>#REF!</v>
      </c>
      <c r="DG24" s="1"/>
      <c r="DH24" s="253" t="s">
        <v>272</v>
      </c>
      <c r="DI24" s="253">
        <v>0</v>
      </c>
      <c r="DJ24" s="173">
        <f t="shared" si="98"/>
        <v>0</v>
      </c>
      <c r="DK24" s="172" t="e">
        <f>IF(VLOOKUP($B24,#REF!,6,FALSE)="Y","Yes","")</f>
        <v>#REF!</v>
      </c>
      <c r="DL24" s="172" t="e">
        <f>VLOOKUP($B24,#REF!,4,FALSE)</f>
        <v>#REF!</v>
      </c>
      <c r="DM24" s="173" t="e">
        <f t="shared" si="15"/>
        <v>#REF!</v>
      </c>
      <c r="DN24" s="1"/>
      <c r="DO24" s="172">
        <f t="shared" si="99"/>
        <v>2540015.8000450134</v>
      </c>
      <c r="DP24" s="252">
        <v>2408437.196639251</v>
      </c>
      <c r="DQ24" s="172">
        <f t="shared" si="100"/>
        <v>-131578.60340576246</v>
      </c>
      <c r="DR24" s="173">
        <f t="shared" si="16"/>
        <v>-5.180227753049043E-2</v>
      </c>
      <c r="DS24" s="172">
        <f t="shared" si="101"/>
        <v>2408437.196639251</v>
      </c>
      <c r="DT24" s="252">
        <v>2447358.7625730331</v>
      </c>
      <c r="DU24" s="172">
        <f t="shared" si="102"/>
        <v>38921.565933782142</v>
      </c>
      <c r="DV24" s="173">
        <f t="shared" si="103"/>
        <v>1.5323355836248099E-2</v>
      </c>
      <c r="DW24" s="172">
        <f t="shared" si="104"/>
        <v>2447358.7625730331</v>
      </c>
      <c r="DX24" s="252">
        <v>2436901.4354399559</v>
      </c>
      <c r="DY24" s="172">
        <f t="shared" si="105"/>
        <v>-10457.327133077197</v>
      </c>
      <c r="DZ24" s="173">
        <f t="shared" si="106"/>
        <v>-4.1170323164493212E-3</v>
      </c>
      <c r="EA24" s="172">
        <f t="shared" si="107"/>
        <v>2436901.4354399559</v>
      </c>
      <c r="EB24" s="252">
        <v>2478307.6633411832</v>
      </c>
      <c r="EC24" s="172">
        <f t="shared" si="108"/>
        <v>41406.227901227307</v>
      </c>
      <c r="ED24" s="173">
        <f t="shared" si="109"/>
        <v>1.6301563124329194E-2</v>
      </c>
      <c r="EE24" s="172">
        <f t="shared" si="110"/>
        <v>2478307.6633411832</v>
      </c>
      <c r="EF24" s="252">
        <v>2522328.0623931652</v>
      </c>
      <c r="EG24" s="172">
        <f t="shared" si="111"/>
        <v>44020.399051981978</v>
      </c>
      <c r="EH24" s="173">
        <f t="shared" si="112"/>
        <v>1.7330757962687422E-2</v>
      </c>
      <c r="EI24" s="172">
        <f t="shared" si="113"/>
        <v>2522328.0623931652</v>
      </c>
      <c r="EJ24" s="252">
        <v>2540015.8000450134</v>
      </c>
      <c r="EK24" s="172">
        <f t="shared" si="114"/>
        <v>17687.737651848234</v>
      </c>
      <c r="EL24" s="173">
        <f t="shared" si="115"/>
        <v>6.9636329236750331E-3</v>
      </c>
      <c r="EM24" s="172">
        <f t="shared" si="116"/>
        <v>0</v>
      </c>
      <c r="EN24" s="173">
        <f t="shared" si="17"/>
        <v>0</v>
      </c>
      <c r="EO24" s="214"/>
      <c r="EP24" s="273">
        <v>1257958.3374537746</v>
      </c>
      <c r="EQ24" s="273">
        <v>1071741.1464640917</v>
      </c>
      <c r="ER24" s="172">
        <f t="shared" si="117"/>
        <v>-186217.19098968292</v>
      </c>
      <c r="ES24" s="173">
        <f t="shared" si="18"/>
        <v>-0.14803128644673871</v>
      </c>
      <c r="ET24" s="273">
        <v>571864.04412991554</v>
      </c>
      <c r="EU24" s="273">
        <v>485475.02033699449</v>
      </c>
      <c r="EV24" s="172">
        <f t="shared" si="118"/>
        <v>-86389.023792921042</v>
      </c>
      <c r="EW24" s="173">
        <f t="shared" si="19"/>
        <v>-0.15106566793224591</v>
      </c>
      <c r="EX24" s="273">
        <v>770149.64</v>
      </c>
      <c r="EY24" s="273">
        <v>651665.07999999996</v>
      </c>
      <c r="EZ24" s="172">
        <f t="shared" si="119"/>
        <v>-118484.56000000006</v>
      </c>
      <c r="FA24" s="173">
        <f t="shared" si="20"/>
        <v>-0.15384615384615391</v>
      </c>
      <c r="FB24" s="172">
        <f t="shared" si="120"/>
        <v>1071741.1464640917</v>
      </c>
      <c r="FC24" s="273">
        <v>1088098.2183478472</v>
      </c>
      <c r="FD24" s="172">
        <f t="shared" si="121"/>
        <v>16357.071883755503</v>
      </c>
      <c r="FE24" s="173">
        <f t="shared" si="21"/>
        <v>1.5262147896179089E-2</v>
      </c>
      <c r="FF24" s="172">
        <f t="shared" si="122"/>
        <v>485475.02033699449</v>
      </c>
      <c r="FG24" s="273">
        <v>489119.53953016235</v>
      </c>
      <c r="FH24" s="172">
        <f t="shared" si="123"/>
        <v>3644.5191931678564</v>
      </c>
      <c r="FI24" s="173">
        <f t="shared" si="22"/>
        <v>7.5071199145076472E-3</v>
      </c>
      <c r="FJ24" s="172">
        <f t="shared" si="124"/>
        <v>1088098.2183478472</v>
      </c>
      <c r="FK24" s="273">
        <v>1227118.8159382571</v>
      </c>
      <c r="FL24" s="172">
        <f t="shared" si="125"/>
        <v>139020.59759040992</v>
      </c>
      <c r="FM24" s="173">
        <f t="shared" si="23"/>
        <v>0.12776475068720983</v>
      </c>
      <c r="FN24" s="172">
        <f t="shared" si="126"/>
        <v>489119.53953016235</v>
      </c>
      <c r="FO24" s="273">
        <v>520094.71891275386</v>
      </c>
      <c r="FP24" s="172">
        <f t="shared" si="127"/>
        <v>30975.179382591508</v>
      </c>
      <c r="FQ24" s="173">
        <f t="shared" si="24"/>
        <v>6.3328444028929204E-2</v>
      </c>
      <c r="FR24" s="172">
        <f t="shared" si="128"/>
        <v>520094.71891275386</v>
      </c>
      <c r="FS24" s="273">
        <v>520455.73655656714</v>
      </c>
      <c r="FT24" s="172">
        <f t="shared" si="129"/>
        <v>361.01764381327666</v>
      </c>
      <c r="FU24" s="173">
        <f t="shared" si="25"/>
        <v>6.9413826113823231E-4</v>
      </c>
      <c r="FV24" s="172">
        <f t="shared" si="26"/>
        <v>651665.07999999996</v>
      </c>
      <c r="FW24" s="273">
        <v>717679.6</v>
      </c>
      <c r="FX24" s="172">
        <f t="shared" si="130"/>
        <v>66014.520000000019</v>
      </c>
      <c r="FY24" s="173">
        <f t="shared" si="27"/>
        <v>0.10130130035508428</v>
      </c>
      <c r="FZ24" s="214"/>
      <c r="GA24" s="172">
        <f t="shared" si="28"/>
        <v>1257958.3374537746</v>
      </c>
      <c r="GB24" s="172">
        <f t="shared" si="29"/>
        <v>-186217.19098968292</v>
      </c>
      <c r="GC24" s="172">
        <f t="shared" si="30"/>
        <v>16357.071883755503</v>
      </c>
      <c r="GD24" s="172">
        <f t="shared" si="31"/>
        <v>139020.59759040992</v>
      </c>
      <c r="GE24" s="172">
        <f t="shared" si="32"/>
        <v>-30839.521515517496</v>
      </c>
      <c r="GF24" s="172">
        <f t="shared" si="33"/>
        <v>1227118.8159382571</v>
      </c>
      <c r="GG24" s="173">
        <f t="shared" si="34"/>
        <v>-2.4515534892784741E-2</v>
      </c>
      <c r="GH24" s="244"/>
      <c r="GI24" s="172">
        <f t="shared" si="35"/>
        <v>571864.04412991554</v>
      </c>
      <c r="GJ24" s="172">
        <f t="shared" si="36"/>
        <v>-86389.023792921042</v>
      </c>
      <c r="GK24" s="172">
        <f t="shared" si="37"/>
        <v>3644.5191931678564</v>
      </c>
      <c r="GL24" s="172">
        <f t="shared" si="38"/>
        <v>30975.179382591508</v>
      </c>
      <c r="GM24" s="172">
        <f t="shared" si="39"/>
        <v>361.01764381327666</v>
      </c>
      <c r="GN24" s="172">
        <f t="shared" si="40"/>
        <v>-51408.3075733484</v>
      </c>
      <c r="GO24" s="172">
        <f t="shared" si="41"/>
        <v>520455.73655656714</v>
      </c>
      <c r="GP24" s="173">
        <f t="shared" si="42"/>
        <v>-8.9896030535659116E-2</v>
      </c>
      <c r="GQ24" s="214"/>
      <c r="GR24" s="172">
        <f t="shared" si="43"/>
        <v>770149.64</v>
      </c>
      <c r="GS24" s="172">
        <f t="shared" si="44"/>
        <v>-118484.56000000006</v>
      </c>
      <c r="GT24" s="172">
        <f t="shared" si="45"/>
        <v>66014.520000000019</v>
      </c>
      <c r="GU24" s="172">
        <f t="shared" si="131"/>
        <v>-52470.040000000037</v>
      </c>
      <c r="GV24" s="172">
        <f t="shared" si="132"/>
        <v>717679.6</v>
      </c>
      <c r="GW24" s="173">
        <f t="shared" si="133"/>
        <v>-6.8129668930313386E-2</v>
      </c>
      <c r="GX24" s="214"/>
      <c r="GY24" s="273">
        <v>-59956.221538676924</v>
      </c>
      <c r="GZ24" s="172" t="e">
        <f t="shared" si="134"/>
        <v>#REF!</v>
      </c>
      <c r="HA24" s="172" t="e">
        <f>-VLOOKUP($B24,#REF!,23,FALSE)</f>
        <v>#REF!</v>
      </c>
    </row>
    <row r="25" spans="1:209" ht="15" customHeight="1" x14ac:dyDescent="0.45">
      <c r="A25" s="148">
        <v>4</v>
      </c>
      <c r="B25" s="212" t="s">
        <v>54</v>
      </c>
      <c r="C25" s="172">
        <v>392482162.41989702</v>
      </c>
      <c r="D25" s="173">
        <f t="shared" si="0"/>
        <v>0.27246472850244929</v>
      </c>
      <c r="E25" s="1"/>
      <c r="F25" s="252">
        <v>700570381.14915884</v>
      </c>
      <c r="G25" s="173">
        <f t="shared" si="1"/>
        <v>0.29809976956844841</v>
      </c>
      <c r="H25" s="173">
        <f t="shared" si="46"/>
        <v>1.0940857233407688</v>
      </c>
      <c r="I25" s="172" t="e">
        <f>VLOOKUP($B25,#REF!,24,FALSE)</f>
        <v>#REF!</v>
      </c>
      <c r="J25" s="173" t="e">
        <f t="shared" si="2"/>
        <v>#REF!</v>
      </c>
      <c r="K25" s="173" t="e">
        <f t="shared" si="47"/>
        <v>#REF!</v>
      </c>
      <c r="L25" s="172" t="e">
        <f t="shared" si="48"/>
        <v>#REF!</v>
      </c>
      <c r="M25" s="173" t="e">
        <f t="shared" si="49"/>
        <v>#REF!</v>
      </c>
      <c r="N25" s="173" t="e">
        <f t="shared" si="50"/>
        <v>#REF!</v>
      </c>
      <c r="O25" s="176"/>
      <c r="P25" s="253">
        <v>4921</v>
      </c>
      <c r="Q25" s="173">
        <f t="shared" si="3"/>
        <v>0.27372343975970631</v>
      </c>
      <c r="R25" s="172" t="e">
        <f>VLOOKUP($B25,#REF!,4,FALSE)</f>
        <v>#REF!</v>
      </c>
      <c r="S25" s="173" t="e">
        <f t="shared" si="4"/>
        <v>#REF!</v>
      </c>
      <c r="T25" s="172" t="e">
        <f t="shared" si="51"/>
        <v>#REF!</v>
      </c>
      <c r="U25" s="173" t="e">
        <f t="shared" si="52"/>
        <v>#REF!</v>
      </c>
      <c r="V25" s="173" t="e">
        <f t="shared" si="53"/>
        <v>#REF!</v>
      </c>
      <c r="W25" s="1"/>
      <c r="X25" s="189">
        <f>VLOOKUP($B25,'Average RAS salary'!$A$5:$D$62,4,FALSE)</f>
        <v>67880.589368258865</v>
      </c>
      <c r="Y25" s="253">
        <v>79343.354724201054</v>
      </c>
      <c r="Z25" s="252" t="s">
        <v>272</v>
      </c>
      <c r="AA25" s="252" t="s">
        <v>272</v>
      </c>
      <c r="AB25" s="173">
        <f t="shared" si="5"/>
        <v>1.3601123132201671</v>
      </c>
      <c r="AC25" s="172" t="e">
        <f>VLOOKUP($B25,#REF!,3,FALSE)</f>
        <v>#REF!</v>
      </c>
      <c r="AD25" s="172" t="e">
        <f>VLOOKUP($B25,#REF!,5,FALSE)</f>
        <v>#REF!</v>
      </c>
      <c r="AE25" s="172" t="e">
        <f>VLOOKUP($B25,#REF!,6,FALSE)</f>
        <v>#REF!</v>
      </c>
      <c r="AF25" s="173" t="e">
        <f t="shared" si="6"/>
        <v>#REF!</v>
      </c>
      <c r="AG25" s="172" t="e">
        <f t="shared" si="54"/>
        <v>#REF!</v>
      </c>
      <c r="AH25" s="173" t="e">
        <f t="shared" si="7"/>
        <v>#REF!</v>
      </c>
      <c r="AI25" s="173" t="e">
        <f t="shared" si="8"/>
        <v>#REF!</v>
      </c>
      <c r="AJ25" s="189">
        <v>64915.741396044359</v>
      </c>
      <c r="AK25" s="189">
        <f>VLOOKUP($B25,'Average RAS salary'!$A$5:$D$62,4,FALSE)</f>
        <v>67880.589368258865</v>
      </c>
      <c r="AL25" s="189">
        <f t="shared" si="55"/>
        <v>2964.8479722145057</v>
      </c>
      <c r="AM25" s="173">
        <f t="shared" si="56"/>
        <v>4.5672250034491151E-2</v>
      </c>
      <c r="AN25" s="189" t="e">
        <f t="shared" si="57"/>
        <v>#REF!</v>
      </c>
      <c r="AO25" s="189" t="e">
        <f t="shared" si="58"/>
        <v>#REF!</v>
      </c>
      <c r="AP25" s="189" t="e">
        <f t="shared" si="59"/>
        <v>#REF!</v>
      </c>
      <c r="AQ25" s="189" t="e">
        <f t="shared" si="135"/>
        <v>#REF!</v>
      </c>
      <c r="AR25" s="189" t="e">
        <f t="shared" si="60"/>
        <v>#REF!</v>
      </c>
      <c r="AS25" s="189" t="e">
        <f t="shared" si="9"/>
        <v>#REF!</v>
      </c>
      <c r="AT25" s="213" t="e">
        <f t="shared" si="61"/>
        <v>#REF!</v>
      </c>
      <c r="AU25" s="173" t="e">
        <f t="shared" si="62"/>
        <v>#REF!</v>
      </c>
      <c r="AV25" s="189"/>
      <c r="AW25" s="189">
        <f>VLOOKUP($B25,'Average RAS salary'!$A$5:$D$62,4,FALSE)</f>
        <v>67880.589368258865</v>
      </c>
      <c r="AX25" s="189" t="e">
        <f t="shared" si="10"/>
        <v>#REF!</v>
      </c>
      <c r="AY25" s="189">
        <v>69271.616672059245</v>
      </c>
      <c r="AZ25" s="189" t="e">
        <f t="shared" si="11"/>
        <v>#REF!</v>
      </c>
      <c r="BA25" s="189" t="e">
        <f t="shared" si="63"/>
        <v>#REF!</v>
      </c>
      <c r="BB25" s="189" t="e">
        <f t="shared" si="64"/>
        <v>#REF!</v>
      </c>
      <c r="BC25" s="189" t="e">
        <f t="shared" si="65"/>
        <v>#REF!</v>
      </c>
      <c r="BD25" s="213">
        <f t="shared" si="66"/>
        <v>1391.0273038003797</v>
      </c>
      <c r="BE25" s="173">
        <f t="shared" si="67"/>
        <v>2.0492269097045105E-2</v>
      </c>
      <c r="BF25" s="189"/>
      <c r="BG25" s="189">
        <f>VLOOKUP($B25,'Average RAS salary'!$A$5:$D$62,4,FALSE)</f>
        <v>67880.589368258865</v>
      </c>
      <c r="BH25" s="189" t="e">
        <f t="shared" si="68"/>
        <v>#REF!</v>
      </c>
      <c r="BI25" s="189" t="e">
        <f>$BG$65*#REF!</f>
        <v>#REF!</v>
      </c>
      <c r="BJ25" s="189" t="e">
        <f t="shared" si="69"/>
        <v>#REF!</v>
      </c>
      <c r="BK25" s="189" t="e">
        <f t="shared" si="12"/>
        <v>#REF!</v>
      </c>
      <c r="BL25" s="189" t="e">
        <f t="shared" si="13"/>
        <v>#REF!</v>
      </c>
      <c r="BM25" s="189" t="e">
        <f t="shared" si="70"/>
        <v>#REF!</v>
      </c>
      <c r="BN25" s="213" t="e">
        <f t="shared" si="71"/>
        <v>#REF!</v>
      </c>
      <c r="BO25" s="173" t="e">
        <f t="shared" si="72"/>
        <v>#REF!</v>
      </c>
      <c r="BP25" s="189"/>
      <c r="BQ25" s="189">
        <f>VLOOKUP($B25,'Average RAS salary'!$A$5:$D$62,4,FALSE)</f>
        <v>67880.589368258865</v>
      </c>
      <c r="BR25" s="189" t="e">
        <f t="shared" si="73"/>
        <v>#REF!</v>
      </c>
      <c r="BS25" s="189" t="e">
        <f>VLOOKUP($B25,#REF!,19,FALSE)*$BQ$65</f>
        <v>#REF!</v>
      </c>
      <c r="BT25" s="189" t="e">
        <f t="shared" si="74"/>
        <v>#REF!</v>
      </c>
      <c r="BU25" s="189" t="e">
        <f t="shared" si="75"/>
        <v>#REF!</v>
      </c>
      <c r="BV25" s="189" t="e">
        <f t="shared" si="76"/>
        <v>#REF!</v>
      </c>
      <c r="BW25" s="189" t="e">
        <f t="shared" si="77"/>
        <v>#REF!</v>
      </c>
      <c r="BX25" s="213" t="e">
        <f t="shared" si="78"/>
        <v>#REF!</v>
      </c>
      <c r="BY25" s="173" t="e">
        <f t="shared" si="79"/>
        <v>#REF!</v>
      </c>
      <c r="BZ25" s="189"/>
      <c r="CA25" s="189">
        <f>VLOOKUP($B25,'Average RAS salary'!$A$5:$D$62,4,FALSE)</f>
        <v>67880.589368258865</v>
      </c>
      <c r="CB25" s="189" t="e">
        <f t="shared" si="80"/>
        <v>#REF!</v>
      </c>
      <c r="CC25" s="189" t="e">
        <f>IF(VLOOKUP($B25,#REF!,7,FALSE)&gt;VLOOKUP($B25,#REF!,19,FALSE)*$CA$65,VLOOKUP($B25,#REF!,19,FALSE)*$CA$65,VLOOKUP($B25,#REF!,7,FALSE))</f>
        <v>#REF!</v>
      </c>
      <c r="CD25" s="189" t="e">
        <f t="shared" si="81"/>
        <v>#REF!</v>
      </c>
      <c r="CE25" s="189" t="e">
        <f t="shared" si="82"/>
        <v>#REF!</v>
      </c>
      <c r="CF25" s="189" t="e">
        <f t="shared" si="83"/>
        <v>#REF!</v>
      </c>
      <c r="CG25" s="189" t="e">
        <f t="shared" si="84"/>
        <v>#REF!</v>
      </c>
      <c r="CH25" s="213" t="e">
        <f t="shared" si="85"/>
        <v>#REF!</v>
      </c>
      <c r="CI25" s="173" t="e">
        <f t="shared" si="86"/>
        <v>#REF!</v>
      </c>
      <c r="CJ25" s="189"/>
      <c r="CK25" s="189">
        <f>VLOOKUP($B25,'Average RAS salary'!$A$5:$D$62,4,FALSE)</f>
        <v>67880.589368258865</v>
      </c>
      <c r="CL25" s="189" t="e">
        <f t="shared" si="87"/>
        <v>#REF!</v>
      </c>
      <c r="CM25" s="189" t="e">
        <f>IF($AY25&gt;VLOOKUP($B25,#REF!,19,FALSE)*$CK$65,VLOOKUP($B25,#REF!,19,FALSE)*$CK$65,$AY25)</f>
        <v>#REF!</v>
      </c>
      <c r="CN25" s="189" t="e">
        <f t="shared" si="88"/>
        <v>#REF!</v>
      </c>
      <c r="CO25" s="189" t="e">
        <f t="shared" si="89"/>
        <v>#REF!</v>
      </c>
      <c r="CP25" s="189" t="e">
        <f t="shared" si="90"/>
        <v>#REF!</v>
      </c>
      <c r="CQ25" s="189" t="e">
        <f t="shared" si="91"/>
        <v>#REF!</v>
      </c>
      <c r="CR25" s="213" t="e">
        <f t="shared" si="92"/>
        <v>#REF!</v>
      </c>
      <c r="CS25" s="173" t="e">
        <f t="shared" si="93"/>
        <v>#REF!</v>
      </c>
      <c r="CT25" s="1"/>
      <c r="CU25" s="254">
        <v>0.23900227037262811</v>
      </c>
      <c r="CV25" s="252">
        <v>23878.012373096448</v>
      </c>
      <c r="CW25" s="254">
        <v>0.33965425241249164</v>
      </c>
      <c r="CX25" s="255">
        <v>20883.251318101935</v>
      </c>
      <c r="CY25" s="190" t="e">
        <f>VLOOKUP($B25,#REF!,13,FALSE)</f>
        <v>#REF!</v>
      </c>
      <c r="CZ25" s="172" t="e">
        <f>VLOOKUP($B25,#REF!,14,FALSE)</f>
        <v>#REF!</v>
      </c>
      <c r="DA25" s="190" t="e">
        <f>VLOOKUP($B25,#REF!,15,FALSE)</f>
        <v>#REF!</v>
      </c>
      <c r="DB25" s="189" t="e">
        <f>VLOOKUP($B25,#REF!,16,FALSE)</f>
        <v>#REF!</v>
      </c>
      <c r="DC25" s="190" t="e">
        <f t="shared" si="94"/>
        <v>#REF!</v>
      </c>
      <c r="DD25" s="190" t="e">
        <f t="shared" si="95"/>
        <v>#REF!</v>
      </c>
      <c r="DE25" s="190" t="e">
        <f t="shared" si="96"/>
        <v>#REF!</v>
      </c>
      <c r="DF25" s="190" t="e">
        <f t="shared" si="97"/>
        <v>#REF!</v>
      </c>
      <c r="DG25" s="1"/>
      <c r="DH25" s="253" t="s">
        <v>272</v>
      </c>
      <c r="DI25" s="253">
        <v>0</v>
      </c>
      <c r="DJ25" s="173">
        <f t="shared" si="98"/>
        <v>0</v>
      </c>
      <c r="DK25" s="172" t="e">
        <f>IF(VLOOKUP($B25,#REF!,6,FALSE)="Y","Yes","")</f>
        <v>#REF!</v>
      </c>
      <c r="DL25" s="172" t="e">
        <f>VLOOKUP($B25,#REF!,4,FALSE)</f>
        <v>#REF!</v>
      </c>
      <c r="DM25" s="173" t="e">
        <f t="shared" si="15"/>
        <v>#REF!</v>
      </c>
      <c r="DN25" s="1"/>
      <c r="DO25" s="172">
        <f t="shared" si="99"/>
        <v>700570381.14915884</v>
      </c>
      <c r="DP25" s="252">
        <v>678971124.54124272</v>
      </c>
      <c r="DQ25" s="172">
        <f t="shared" si="100"/>
        <v>-21599256.607916117</v>
      </c>
      <c r="DR25" s="173">
        <f t="shared" si="16"/>
        <v>-3.0830958871664611E-2</v>
      </c>
      <c r="DS25" s="172">
        <f t="shared" si="101"/>
        <v>678971124.54124272</v>
      </c>
      <c r="DT25" s="252">
        <v>691230689.29131496</v>
      </c>
      <c r="DU25" s="172">
        <f t="shared" si="102"/>
        <v>12259564.750072241</v>
      </c>
      <c r="DV25" s="173">
        <f t="shared" si="103"/>
        <v>1.7499404884863453E-2</v>
      </c>
      <c r="DW25" s="172">
        <f t="shared" si="104"/>
        <v>691230689.29131496</v>
      </c>
      <c r="DX25" s="252">
        <v>698364604.38921988</v>
      </c>
      <c r="DY25" s="172">
        <f t="shared" si="105"/>
        <v>7133915.0979049206</v>
      </c>
      <c r="DZ25" s="173">
        <f t="shared" si="106"/>
        <v>1.0183009858628371E-2</v>
      </c>
      <c r="EA25" s="172">
        <f t="shared" si="107"/>
        <v>698364604.38921988</v>
      </c>
      <c r="EB25" s="252">
        <v>697478561.66847527</v>
      </c>
      <c r="EC25" s="172">
        <f t="shared" si="108"/>
        <v>-886042.72074460983</v>
      </c>
      <c r="ED25" s="173">
        <f t="shared" si="109"/>
        <v>-1.2647447631046252E-3</v>
      </c>
      <c r="EE25" s="172">
        <f t="shared" si="110"/>
        <v>697478561.66847527</v>
      </c>
      <c r="EF25" s="252">
        <v>700696221.88659155</v>
      </c>
      <c r="EG25" s="172">
        <f t="shared" si="111"/>
        <v>3217660.2181162834</v>
      </c>
      <c r="EH25" s="173">
        <f t="shared" si="112"/>
        <v>4.5929150085367507E-3</v>
      </c>
      <c r="EI25" s="172">
        <f t="shared" si="113"/>
        <v>700696221.88659155</v>
      </c>
      <c r="EJ25" s="252">
        <v>700570381.14915884</v>
      </c>
      <c r="EK25" s="172">
        <f t="shared" si="114"/>
        <v>-125840.73743271828</v>
      </c>
      <c r="EL25" s="173">
        <f t="shared" si="115"/>
        <v>-1.796261172593385E-4</v>
      </c>
      <c r="EM25" s="172">
        <f t="shared" si="116"/>
        <v>0</v>
      </c>
      <c r="EN25" s="173">
        <f t="shared" si="17"/>
        <v>0</v>
      </c>
      <c r="EO25" s="214"/>
      <c r="EP25" s="273">
        <v>390673143.45294404</v>
      </c>
      <c r="EQ25" s="273">
        <v>374407755.73448282</v>
      </c>
      <c r="ER25" s="172">
        <f t="shared" si="117"/>
        <v>-16265387.718461215</v>
      </c>
      <c r="ES25" s="173">
        <f t="shared" si="18"/>
        <v>-4.1634261251491313E-2</v>
      </c>
      <c r="ET25" s="273">
        <v>214172358.98695689</v>
      </c>
      <c r="EU25" s="273">
        <v>205280093.15035567</v>
      </c>
      <c r="EV25" s="172">
        <f t="shared" si="118"/>
        <v>-8892265.8366012275</v>
      </c>
      <c r="EW25" s="173">
        <f t="shared" si="19"/>
        <v>-4.1519203872348281E-2</v>
      </c>
      <c r="EX25" s="273">
        <v>103051300.73</v>
      </c>
      <c r="EY25" s="273">
        <v>98758369.079999998</v>
      </c>
      <c r="EZ25" s="172">
        <f t="shared" si="119"/>
        <v>-4292931.650000006</v>
      </c>
      <c r="FA25" s="173">
        <f t="shared" si="20"/>
        <v>-4.1658199552936453E-2</v>
      </c>
      <c r="FB25" s="172">
        <f t="shared" si="120"/>
        <v>374407755.73448282</v>
      </c>
      <c r="FC25" s="273">
        <v>381842393.57315016</v>
      </c>
      <c r="FD25" s="172">
        <f t="shared" si="121"/>
        <v>7434637.8386673331</v>
      </c>
      <c r="FE25" s="173">
        <f t="shared" si="21"/>
        <v>1.9857061518618019E-2</v>
      </c>
      <c r="FF25" s="172">
        <f t="shared" si="122"/>
        <v>205280093.15035567</v>
      </c>
      <c r="FG25" s="273">
        <v>207158322.8923789</v>
      </c>
      <c r="FH25" s="172">
        <f t="shared" si="123"/>
        <v>1878229.7420232296</v>
      </c>
      <c r="FI25" s="173">
        <f t="shared" si="22"/>
        <v>9.1495951370576204E-3</v>
      </c>
      <c r="FJ25" s="172">
        <f t="shared" si="124"/>
        <v>381842393.57315016</v>
      </c>
      <c r="FK25" s="273">
        <v>385202235.72403538</v>
      </c>
      <c r="FL25" s="172">
        <f t="shared" si="125"/>
        <v>3359842.1508852243</v>
      </c>
      <c r="FM25" s="173">
        <f t="shared" si="23"/>
        <v>8.799028623943439E-3</v>
      </c>
      <c r="FN25" s="172">
        <f t="shared" si="126"/>
        <v>207158322.8923789</v>
      </c>
      <c r="FO25" s="273">
        <v>208006974.20125195</v>
      </c>
      <c r="FP25" s="172">
        <f t="shared" si="127"/>
        <v>848651.30887305737</v>
      </c>
      <c r="FQ25" s="173">
        <f t="shared" si="24"/>
        <v>4.0966314895006239E-3</v>
      </c>
      <c r="FR25" s="172">
        <f t="shared" si="128"/>
        <v>208006974.20125195</v>
      </c>
      <c r="FS25" s="273">
        <v>206125568.93134844</v>
      </c>
      <c r="FT25" s="172">
        <f t="shared" si="129"/>
        <v>-1881405.2699035108</v>
      </c>
      <c r="FU25" s="173">
        <f t="shared" si="25"/>
        <v>-9.0449143694730349E-3</v>
      </c>
      <c r="FV25" s="172">
        <f t="shared" si="26"/>
        <v>98758369.079999998</v>
      </c>
      <c r="FW25" s="273">
        <v>107316635.76000001</v>
      </c>
      <c r="FX25" s="172">
        <f t="shared" si="130"/>
        <v>8558266.6800000072</v>
      </c>
      <c r="FY25" s="173">
        <f t="shared" si="27"/>
        <v>8.665864736048158E-2</v>
      </c>
      <c r="FZ25" s="214"/>
      <c r="GA25" s="172">
        <f t="shared" si="28"/>
        <v>390673143.45294404</v>
      </c>
      <c r="GB25" s="172">
        <f t="shared" si="29"/>
        <v>-16265387.718461215</v>
      </c>
      <c r="GC25" s="172">
        <f t="shared" si="30"/>
        <v>7434637.8386673331</v>
      </c>
      <c r="GD25" s="172">
        <f t="shared" si="31"/>
        <v>3359842.1508852243</v>
      </c>
      <c r="GE25" s="172">
        <f t="shared" si="32"/>
        <v>-5470907.728908658</v>
      </c>
      <c r="GF25" s="172">
        <f t="shared" si="33"/>
        <v>385202235.72403538</v>
      </c>
      <c r="GG25" s="173">
        <f t="shared" si="34"/>
        <v>-1.4003797856577311E-2</v>
      </c>
      <c r="GH25" s="244"/>
      <c r="GI25" s="172">
        <f t="shared" si="35"/>
        <v>214172358.98695689</v>
      </c>
      <c r="GJ25" s="172">
        <f t="shared" si="36"/>
        <v>-8892265.8366012275</v>
      </c>
      <c r="GK25" s="172">
        <f t="shared" si="37"/>
        <v>1878229.7420232296</v>
      </c>
      <c r="GL25" s="172">
        <f t="shared" si="38"/>
        <v>848651.30887305737</v>
      </c>
      <c r="GM25" s="172">
        <f t="shared" si="39"/>
        <v>-1881405.2699035108</v>
      </c>
      <c r="GN25" s="172">
        <f t="shared" si="40"/>
        <v>-8046790.0556084514</v>
      </c>
      <c r="GO25" s="172">
        <f t="shared" si="41"/>
        <v>206125568.93134844</v>
      </c>
      <c r="GP25" s="173">
        <f t="shared" si="42"/>
        <v>-3.7571561959115839E-2</v>
      </c>
      <c r="GQ25" s="214"/>
      <c r="GR25" s="172">
        <f t="shared" si="43"/>
        <v>103051300.73</v>
      </c>
      <c r="GS25" s="172">
        <f t="shared" si="44"/>
        <v>-4292931.650000006</v>
      </c>
      <c r="GT25" s="172">
        <f t="shared" si="45"/>
        <v>8558266.6800000072</v>
      </c>
      <c r="GU25" s="172">
        <f t="shared" si="131"/>
        <v>4265335.0300000012</v>
      </c>
      <c r="GV25" s="172">
        <f t="shared" si="132"/>
        <v>107316635.76000001</v>
      </c>
      <c r="GW25" s="173">
        <f t="shared" si="133"/>
        <v>4.1390404582814636E-2</v>
      </c>
      <c r="GX25" s="214"/>
      <c r="GY25" s="273">
        <v>-7326422.0207420401</v>
      </c>
      <c r="GZ25" s="172" t="e">
        <f t="shared" si="134"/>
        <v>#REF!</v>
      </c>
      <c r="HA25" s="172" t="e">
        <f>-VLOOKUP($B25,#REF!,23,FALSE)</f>
        <v>#REF!</v>
      </c>
    </row>
    <row r="26" spans="1:209" ht="15" customHeight="1" x14ac:dyDescent="0.45">
      <c r="A26" s="148">
        <v>2</v>
      </c>
      <c r="B26" s="215" t="s">
        <v>25</v>
      </c>
      <c r="C26" s="172">
        <v>5953243.5830167094</v>
      </c>
      <c r="D26" s="173">
        <f t="shared" si="0"/>
        <v>4.1327964729776625E-3</v>
      </c>
      <c r="E26" s="1"/>
      <c r="F26" s="252">
        <v>9898382.0339808129</v>
      </c>
      <c r="G26" s="173">
        <f t="shared" si="1"/>
        <v>4.2118614814832056E-3</v>
      </c>
      <c r="H26" s="173">
        <f t="shared" si="46"/>
        <v>1.0191311159459486</v>
      </c>
      <c r="I26" s="172" t="e">
        <f>VLOOKUP($B26,#REF!,24,FALSE)</f>
        <v>#REF!</v>
      </c>
      <c r="J26" s="173" t="e">
        <f t="shared" si="2"/>
        <v>#REF!</v>
      </c>
      <c r="K26" s="173" t="e">
        <f t="shared" si="47"/>
        <v>#REF!</v>
      </c>
      <c r="L26" s="172" t="e">
        <f t="shared" si="48"/>
        <v>#REF!</v>
      </c>
      <c r="M26" s="173" t="e">
        <f t="shared" si="49"/>
        <v>#REF!</v>
      </c>
      <c r="N26" s="173" t="e">
        <f t="shared" si="50"/>
        <v>#REF!</v>
      </c>
      <c r="O26" s="176"/>
      <c r="P26" s="253">
        <v>93</v>
      </c>
      <c r="Q26" s="173">
        <f t="shared" si="3"/>
        <v>5.1729892090332632E-3</v>
      </c>
      <c r="R26" s="172" t="e">
        <f>VLOOKUP($B26,#REF!,4,FALSE)</f>
        <v>#REF!</v>
      </c>
      <c r="S26" s="173" t="e">
        <f t="shared" si="4"/>
        <v>#REF!</v>
      </c>
      <c r="T26" s="172" t="e">
        <f t="shared" si="51"/>
        <v>#REF!</v>
      </c>
      <c r="U26" s="173" t="e">
        <f t="shared" si="52"/>
        <v>#REF!</v>
      </c>
      <c r="V26" s="173" t="e">
        <f t="shared" si="53"/>
        <v>#REF!</v>
      </c>
      <c r="W26" s="1"/>
      <c r="X26" s="189">
        <f>VLOOKUP($B26,'Average RAS salary'!$A$5:$D$62,4,FALSE)</f>
        <v>49391.32991360694</v>
      </c>
      <c r="Y26" s="253">
        <v>54773.62009229559</v>
      </c>
      <c r="Z26" s="252" t="s">
        <v>272</v>
      </c>
      <c r="AA26" s="252" t="s">
        <v>272</v>
      </c>
      <c r="AB26" s="173">
        <f t="shared" si="5"/>
        <v>0.93893528180314711</v>
      </c>
      <c r="AC26" s="172" t="e">
        <f>VLOOKUP($B26,#REF!,3,FALSE)</f>
        <v>#REF!</v>
      </c>
      <c r="AD26" s="172" t="e">
        <f>VLOOKUP($B26,#REF!,5,FALSE)</f>
        <v>#REF!</v>
      </c>
      <c r="AE26" s="172" t="e">
        <f>VLOOKUP($B26,#REF!,6,FALSE)</f>
        <v>#REF!</v>
      </c>
      <c r="AF26" s="173" t="e">
        <f t="shared" si="6"/>
        <v>#REF!</v>
      </c>
      <c r="AG26" s="172" t="e">
        <f t="shared" si="54"/>
        <v>#REF!</v>
      </c>
      <c r="AH26" s="173" t="e">
        <f t="shared" si="7"/>
        <v>#REF!</v>
      </c>
      <c r="AI26" s="173" t="e">
        <f t="shared" si="8"/>
        <v>#REF!</v>
      </c>
      <c r="AJ26" s="189">
        <v>50070.515616438359</v>
      </c>
      <c r="AK26" s="189">
        <f>VLOOKUP($B26,'Average RAS salary'!$A$5:$D$62,4,FALSE)</f>
        <v>49391.32991360694</v>
      </c>
      <c r="AL26" s="189">
        <f t="shared" si="55"/>
        <v>-679.18570283141889</v>
      </c>
      <c r="AM26" s="173">
        <f t="shared" si="56"/>
        <v>-1.3564583756921397E-2</v>
      </c>
      <c r="AN26" s="189" t="e">
        <f t="shared" si="57"/>
        <v>#REF!</v>
      </c>
      <c r="AO26" s="189" t="e">
        <f t="shared" si="58"/>
        <v>#REF!</v>
      </c>
      <c r="AP26" s="189" t="e">
        <f t="shared" si="59"/>
        <v>#REF!</v>
      </c>
      <c r="AQ26" s="189" t="e">
        <f t="shared" si="135"/>
        <v>#REF!</v>
      </c>
      <c r="AR26" s="189" t="e">
        <f t="shared" si="60"/>
        <v>#REF!</v>
      </c>
      <c r="AS26" s="189" t="e">
        <f t="shared" si="9"/>
        <v>#REF!</v>
      </c>
      <c r="AT26" s="213" t="e">
        <f t="shared" si="61"/>
        <v>#REF!</v>
      </c>
      <c r="AU26" s="173" t="e">
        <f t="shared" si="62"/>
        <v>#REF!</v>
      </c>
      <c r="AV26" s="189"/>
      <c r="AW26" s="189">
        <f>VLOOKUP($B26,'Average RAS salary'!$A$5:$D$62,4,FALSE)</f>
        <v>49391.32991360694</v>
      </c>
      <c r="AX26" s="189" t="e">
        <f t="shared" si="10"/>
        <v>#REF!</v>
      </c>
      <c r="AY26" s="189">
        <v>47935.257561384715</v>
      </c>
      <c r="AZ26" s="189" t="e">
        <f t="shared" si="11"/>
        <v>#REF!</v>
      </c>
      <c r="BA26" s="189" t="e">
        <f t="shared" si="63"/>
        <v>#REF!</v>
      </c>
      <c r="BB26" s="189" t="e">
        <f t="shared" si="64"/>
        <v>#REF!</v>
      </c>
      <c r="BC26" s="189" t="e">
        <f t="shared" si="65"/>
        <v>#REF!</v>
      </c>
      <c r="BD26" s="213">
        <f t="shared" si="66"/>
        <v>-1456.0723522222252</v>
      </c>
      <c r="BE26" s="173">
        <f t="shared" si="67"/>
        <v>-2.948032285765782E-2</v>
      </c>
      <c r="BF26" s="189"/>
      <c r="BG26" s="189">
        <f>VLOOKUP($B26,'Average RAS salary'!$A$5:$D$62,4,FALSE)</f>
        <v>49391.32991360694</v>
      </c>
      <c r="BH26" s="189" t="e">
        <f t="shared" si="68"/>
        <v>#REF!</v>
      </c>
      <c r="BI26" s="189" t="e">
        <f>$BG$65*#REF!</f>
        <v>#REF!</v>
      </c>
      <c r="BJ26" s="189" t="e">
        <f t="shared" si="69"/>
        <v>#REF!</v>
      </c>
      <c r="BK26" s="189" t="e">
        <f t="shared" si="12"/>
        <v>#REF!</v>
      </c>
      <c r="BL26" s="189" t="e">
        <f t="shared" si="13"/>
        <v>#REF!</v>
      </c>
      <c r="BM26" s="189" t="e">
        <f t="shared" si="70"/>
        <v>#REF!</v>
      </c>
      <c r="BN26" s="213" t="e">
        <f t="shared" si="71"/>
        <v>#REF!</v>
      </c>
      <c r="BO26" s="173" t="e">
        <f t="shared" si="72"/>
        <v>#REF!</v>
      </c>
      <c r="BP26" s="189"/>
      <c r="BQ26" s="189">
        <f>VLOOKUP($B26,'Average RAS salary'!$A$5:$D$62,4,FALSE)</f>
        <v>49391.32991360694</v>
      </c>
      <c r="BR26" s="189" t="e">
        <f t="shared" si="73"/>
        <v>#REF!</v>
      </c>
      <c r="BS26" s="189" t="e">
        <f>VLOOKUP($B26,#REF!,19,FALSE)*$BQ$65</f>
        <v>#REF!</v>
      </c>
      <c r="BT26" s="189" t="e">
        <f t="shared" si="74"/>
        <v>#REF!</v>
      </c>
      <c r="BU26" s="189" t="e">
        <f t="shared" si="75"/>
        <v>#REF!</v>
      </c>
      <c r="BV26" s="189" t="e">
        <f t="shared" si="76"/>
        <v>#REF!</v>
      </c>
      <c r="BW26" s="189" t="e">
        <f t="shared" si="77"/>
        <v>#REF!</v>
      </c>
      <c r="BX26" s="213" t="e">
        <f t="shared" si="78"/>
        <v>#REF!</v>
      </c>
      <c r="BY26" s="173" t="e">
        <f t="shared" si="79"/>
        <v>#REF!</v>
      </c>
      <c r="BZ26" s="189"/>
      <c r="CA26" s="189">
        <f>VLOOKUP($B26,'Average RAS salary'!$A$5:$D$62,4,FALSE)</f>
        <v>49391.32991360694</v>
      </c>
      <c r="CB26" s="189" t="e">
        <f t="shared" si="80"/>
        <v>#REF!</v>
      </c>
      <c r="CC26" s="189" t="e">
        <f>IF(VLOOKUP($B26,#REF!,7,FALSE)&gt;VLOOKUP($B26,#REF!,19,FALSE)*$CA$65,VLOOKUP($B26,#REF!,19,FALSE)*$CA$65,VLOOKUP($B26,#REF!,7,FALSE))</f>
        <v>#REF!</v>
      </c>
      <c r="CD26" s="189" t="e">
        <f t="shared" si="81"/>
        <v>#REF!</v>
      </c>
      <c r="CE26" s="189" t="e">
        <f t="shared" si="82"/>
        <v>#REF!</v>
      </c>
      <c r="CF26" s="189" t="e">
        <f t="shared" si="83"/>
        <v>#REF!</v>
      </c>
      <c r="CG26" s="189" t="e">
        <f t="shared" si="84"/>
        <v>#REF!</v>
      </c>
      <c r="CH26" s="213" t="e">
        <f t="shared" si="85"/>
        <v>#REF!</v>
      </c>
      <c r="CI26" s="173" t="e">
        <f t="shared" si="86"/>
        <v>#REF!</v>
      </c>
      <c r="CJ26" s="189"/>
      <c r="CK26" s="189">
        <f>VLOOKUP($B26,'Average RAS salary'!$A$5:$D$62,4,FALSE)</f>
        <v>49391.32991360694</v>
      </c>
      <c r="CL26" s="189" t="e">
        <f t="shared" si="87"/>
        <v>#REF!</v>
      </c>
      <c r="CM26" s="189" t="e">
        <f>IF($AY26&gt;VLOOKUP($B26,#REF!,19,FALSE)*$CK$65,VLOOKUP($B26,#REF!,19,FALSE)*$CK$65,$AY26)</f>
        <v>#REF!</v>
      </c>
      <c r="CN26" s="189" t="e">
        <f t="shared" si="88"/>
        <v>#REF!</v>
      </c>
      <c r="CO26" s="189" t="e">
        <f t="shared" si="89"/>
        <v>#REF!</v>
      </c>
      <c r="CP26" s="189" t="e">
        <f t="shared" si="90"/>
        <v>#REF!</v>
      </c>
      <c r="CQ26" s="189" t="e">
        <f t="shared" si="91"/>
        <v>#REF!</v>
      </c>
      <c r="CR26" s="213" t="e">
        <f t="shared" si="92"/>
        <v>#REF!</v>
      </c>
      <c r="CS26" s="173" t="e">
        <f t="shared" si="93"/>
        <v>#REF!</v>
      </c>
      <c r="CT26" s="1"/>
      <c r="CU26" s="254">
        <v>0.30729999989912726</v>
      </c>
      <c r="CV26" s="252">
        <v>15511.049382716061</v>
      </c>
      <c r="CW26" s="254">
        <v>0.30729999987637907</v>
      </c>
      <c r="CX26" s="255">
        <v>15503.857142857145</v>
      </c>
      <c r="CY26" s="190" t="e">
        <f>VLOOKUP($B26,#REF!,13,FALSE)</f>
        <v>#REF!</v>
      </c>
      <c r="CZ26" s="172" t="e">
        <f>VLOOKUP($B26,#REF!,14,FALSE)</f>
        <v>#REF!</v>
      </c>
      <c r="DA26" s="190" t="e">
        <f>VLOOKUP($B26,#REF!,15,FALSE)</f>
        <v>#REF!</v>
      </c>
      <c r="DB26" s="189" t="e">
        <f>VLOOKUP($B26,#REF!,16,FALSE)</f>
        <v>#REF!</v>
      </c>
      <c r="DC26" s="190" t="e">
        <f t="shared" si="94"/>
        <v>#REF!</v>
      </c>
      <c r="DD26" s="190" t="e">
        <f t="shared" si="95"/>
        <v>#REF!</v>
      </c>
      <c r="DE26" s="190" t="e">
        <f t="shared" si="96"/>
        <v>#REF!</v>
      </c>
      <c r="DF26" s="190" t="e">
        <f t="shared" si="97"/>
        <v>#REF!</v>
      </c>
      <c r="DG26" s="1"/>
      <c r="DH26" s="253" t="s">
        <v>272</v>
      </c>
      <c r="DI26" s="253">
        <v>0</v>
      </c>
      <c r="DJ26" s="173">
        <f t="shared" si="98"/>
        <v>0</v>
      </c>
      <c r="DK26" s="172" t="e">
        <f>IF(VLOOKUP($B26,#REF!,6,FALSE)="Y","Yes","")</f>
        <v>#REF!</v>
      </c>
      <c r="DL26" s="172" t="e">
        <f>VLOOKUP($B26,#REF!,4,FALSE)</f>
        <v>#REF!</v>
      </c>
      <c r="DM26" s="173" t="e">
        <f t="shared" si="15"/>
        <v>#REF!</v>
      </c>
      <c r="DN26" s="1"/>
      <c r="DO26" s="172">
        <f t="shared" si="99"/>
        <v>9898382.0339808129</v>
      </c>
      <c r="DP26" s="252">
        <v>9373364.1936785486</v>
      </c>
      <c r="DQ26" s="172">
        <f t="shared" si="100"/>
        <v>-525017.84030226432</v>
      </c>
      <c r="DR26" s="173">
        <f t="shared" si="16"/>
        <v>-5.3040773582985153E-2</v>
      </c>
      <c r="DS26" s="172">
        <f t="shared" si="101"/>
        <v>9373364.1936785486</v>
      </c>
      <c r="DT26" s="252">
        <v>9537376.9222823102</v>
      </c>
      <c r="DU26" s="172">
        <f t="shared" si="102"/>
        <v>164012.72860376164</v>
      </c>
      <c r="DV26" s="173">
        <f t="shared" si="103"/>
        <v>1.6569650276248325E-2</v>
      </c>
      <c r="DW26" s="172">
        <f t="shared" si="104"/>
        <v>9537376.9222823102</v>
      </c>
      <c r="DX26" s="252">
        <v>9571352.0743000433</v>
      </c>
      <c r="DY26" s="172">
        <f t="shared" si="105"/>
        <v>33975.152017733082</v>
      </c>
      <c r="DZ26" s="173">
        <f t="shared" si="106"/>
        <v>3.4323944965043303E-3</v>
      </c>
      <c r="EA26" s="172">
        <f t="shared" si="107"/>
        <v>9571352.0743000433</v>
      </c>
      <c r="EB26" s="252">
        <v>9821123.8644089028</v>
      </c>
      <c r="EC26" s="172">
        <f t="shared" si="108"/>
        <v>249771.79010885954</v>
      </c>
      <c r="ED26" s="173">
        <f t="shared" si="109"/>
        <v>2.5233597698230012E-2</v>
      </c>
      <c r="EE26" s="172">
        <f t="shared" si="110"/>
        <v>9821123.8644089028</v>
      </c>
      <c r="EF26" s="252">
        <v>9881933.1308760457</v>
      </c>
      <c r="EG26" s="172">
        <f t="shared" si="111"/>
        <v>60809.26646714285</v>
      </c>
      <c r="EH26" s="173">
        <f t="shared" si="112"/>
        <v>6.1433541621637435E-3</v>
      </c>
      <c r="EI26" s="172">
        <f t="shared" si="113"/>
        <v>9881933.1308760457</v>
      </c>
      <c r="EJ26" s="252">
        <v>9898382.0339808129</v>
      </c>
      <c r="EK26" s="172">
        <f t="shared" si="114"/>
        <v>16448.903104767203</v>
      </c>
      <c r="EL26" s="173">
        <f t="shared" si="115"/>
        <v>1.6617769498387385E-3</v>
      </c>
      <c r="EM26" s="172">
        <f t="shared" si="116"/>
        <v>0</v>
      </c>
      <c r="EN26" s="173">
        <f t="shared" si="17"/>
        <v>0</v>
      </c>
      <c r="EO26" s="214"/>
      <c r="EP26" s="273">
        <v>5188283.4827237884</v>
      </c>
      <c r="EQ26" s="273">
        <v>4969189.0023546061</v>
      </c>
      <c r="ER26" s="172">
        <f t="shared" si="117"/>
        <v>-219094.4803691823</v>
      </c>
      <c r="ES26" s="173">
        <f t="shared" si="18"/>
        <v>-4.2228702633295638E-2</v>
      </c>
      <c r="ET26" s="273">
        <v>3036786.4149326431</v>
      </c>
      <c r="EU26" s="273">
        <v>2907421.6758475346</v>
      </c>
      <c r="EV26" s="172">
        <f t="shared" si="118"/>
        <v>-129364.73908510851</v>
      </c>
      <c r="EW26" s="173">
        <f t="shared" si="19"/>
        <v>-4.2599222141204769E-2</v>
      </c>
      <c r="EX26" s="273">
        <v>1947525.09</v>
      </c>
      <c r="EY26" s="273">
        <v>1863760.57</v>
      </c>
      <c r="EZ26" s="172">
        <f t="shared" si="119"/>
        <v>-83764.520000000019</v>
      </c>
      <c r="FA26" s="173">
        <f t="shared" si="20"/>
        <v>-4.3010752688172053E-2</v>
      </c>
      <c r="FB26" s="172">
        <f t="shared" si="120"/>
        <v>4969189.0023546061</v>
      </c>
      <c r="FC26" s="273">
        <v>5071855.5850954102</v>
      </c>
      <c r="FD26" s="172">
        <f t="shared" si="121"/>
        <v>102666.58274080418</v>
      </c>
      <c r="FE26" s="173">
        <f t="shared" si="21"/>
        <v>2.0660631481748133E-2</v>
      </c>
      <c r="FF26" s="172">
        <f t="shared" si="122"/>
        <v>2907421.6758475346</v>
      </c>
      <c r="FG26" s="273">
        <v>2938971.1167129711</v>
      </c>
      <c r="FH26" s="172">
        <f t="shared" si="123"/>
        <v>31549.440865436569</v>
      </c>
      <c r="FI26" s="173">
        <f t="shared" si="22"/>
        <v>1.0851346788642097E-2</v>
      </c>
      <c r="FJ26" s="172">
        <f t="shared" si="124"/>
        <v>5071855.5850954102</v>
      </c>
      <c r="FK26" s="273">
        <v>4987670.2017777665</v>
      </c>
      <c r="FL26" s="172">
        <f t="shared" si="125"/>
        <v>-84185.383317643777</v>
      </c>
      <c r="FM26" s="173">
        <f t="shared" si="23"/>
        <v>-1.6598537143888356E-2</v>
      </c>
      <c r="FN26" s="172">
        <f t="shared" si="126"/>
        <v>2938971.1167129711</v>
      </c>
      <c r="FO26" s="273">
        <v>2913100.948428263</v>
      </c>
      <c r="FP26" s="172">
        <f t="shared" si="127"/>
        <v>-25870.168284708168</v>
      </c>
      <c r="FQ26" s="173">
        <f t="shared" si="24"/>
        <v>-8.8024574782626982E-3</v>
      </c>
      <c r="FR26" s="172">
        <f t="shared" si="128"/>
        <v>2913100.948428263</v>
      </c>
      <c r="FS26" s="273">
        <v>2707758.9086641637</v>
      </c>
      <c r="FT26" s="172">
        <f t="shared" si="129"/>
        <v>-205342.03976409929</v>
      </c>
      <c r="FU26" s="173">
        <f t="shared" si="25"/>
        <v>-7.0489160313819438E-2</v>
      </c>
      <c r="FV26" s="172">
        <f t="shared" si="26"/>
        <v>1863760.57</v>
      </c>
      <c r="FW26" s="273">
        <v>2025271.54</v>
      </c>
      <c r="FX26" s="172">
        <f t="shared" si="130"/>
        <v>161510.96999999997</v>
      </c>
      <c r="FY26" s="173">
        <f t="shared" si="27"/>
        <v>8.6658647360481483E-2</v>
      </c>
      <c r="FZ26" s="214"/>
      <c r="GA26" s="172">
        <f t="shared" si="28"/>
        <v>5188283.4827237884</v>
      </c>
      <c r="GB26" s="172">
        <f t="shared" si="29"/>
        <v>-219094.4803691823</v>
      </c>
      <c r="GC26" s="172">
        <f t="shared" si="30"/>
        <v>102666.58274080418</v>
      </c>
      <c r="GD26" s="172">
        <f t="shared" si="31"/>
        <v>-84185.383317643777</v>
      </c>
      <c r="GE26" s="172">
        <f t="shared" si="32"/>
        <v>-200613.2809460219</v>
      </c>
      <c r="GF26" s="172">
        <f t="shared" si="33"/>
        <v>4987670.2017777665</v>
      </c>
      <c r="GG26" s="173">
        <f t="shared" si="34"/>
        <v>-3.8666599775057445E-2</v>
      </c>
      <c r="GH26" s="244"/>
      <c r="GI26" s="172">
        <f t="shared" si="35"/>
        <v>3036786.4149326431</v>
      </c>
      <c r="GJ26" s="172">
        <f t="shared" si="36"/>
        <v>-129364.73908510851</v>
      </c>
      <c r="GK26" s="172">
        <f t="shared" si="37"/>
        <v>31549.440865436569</v>
      </c>
      <c r="GL26" s="172">
        <f t="shared" si="38"/>
        <v>-25870.168284708168</v>
      </c>
      <c r="GM26" s="172">
        <f t="shared" si="39"/>
        <v>-205342.03976409929</v>
      </c>
      <c r="GN26" s="172">
        <f t="shared" si="40"/>
        <v>-329027.5062684794</v>
      </c>
      <c r="GO26" s="172">
        <f t="shared" si="41"/>
        <v>2707758.9086641637</v>
      </c>
      <c r="GP26" s="173">
        <f t="shared" si="42"/>
        <v>-0.10834726625836059</v>
      </c>
      <c r="GQ26" s="214"/>
      <c r="GR26" s="172">
        <f t="shared" si="43"/>
        <v>1947525.09</v>
      </c>
      <c r="GS26" s="172">
        <f t="shared" si="44"/>
        <v>-83764.520000000019</v>
      </c>
      <c r="GT26" s="172">
        <f t="shared" si="45"/>
        <v>161510.96999999997</v>
      </c>
      <c r="GU26" s="172">
        <f t="shared" si="131"/>
        <v>77746.449999999953</v>
      </c>
      <c r="GV26" s="172">
        <f t="shared" si="132"/>
        <v>2025271.54</v>
      </c>
      <c r="GW26" s="173">
        <f t="shared" si="133"/>
        <v>3.9920641022396251E-2</v>
      </c>
      <c r="GX26" s="214"/>
      <c r="GY26" s="273">
        <v>-274212.95367561828</v>
      </c>
      <c r="GZ26" s="172" t="e">
        <f t="shared" si="134"/>
        <v>#REF!</v>
      </c>
      <c r="HA26" s="172" t="e">
        <f>-VLOOKUP($B26,#REF!,23,FALSE)</f>
        <v>#REF!</v>
      </c>
    </row>
    <row r="27" spans="1:209" ht="15" customHeight="1" x14ac:dyDescent="0.45">
      <c r="A27" s="148">
        <v>2</v>
      </c>
      <c r="B27" s="215" t="s">
        <v>26</v>
      </c>
      <c r="C27" s="172">
        <v>13338797.465928981</v>
      </c>
      <c r="D27" s="173">
        <f t="shared" si="0"/>
        <v>9.259915935275774E-3</v>
      </c>
      <c r="E27" s="1"/>
      <c r="F27" s="252">
        <v>13074250.695997864</v>
      </c>
      <c r="G27" s="173">
        <f t="shared" si="1"/>
        <v>5.5632256581616534E-3</v>
      </c>
      <c r="H27" s="173">
        <f t="shared" si="46"/>
        <v>0.60078576274850082</v>
      </c>
      <c r="I27" s="172" t="e">
        <f>VLOOKUP($B27,#REF!,24,FALSE)</f>
        <v>#REF!</v>
      </c>
      <c r="J27" s="173" t="e">
        <f t="shared" si="2"/>
        <v>#REF!</v>
      </c>
      <c r="K27" s="173" t="e">
        <f t="shared" si="47"/>
        <v>#REF!</v>
      </c>
      <c r="L27" s="172" t="e">
        <f t="shared" si="48"/>
        <v>#REF!</v>
      </c>
      <c r="M27" s="173" t="e">
        <f t="shared" si="49"/>
        <v>#REF!</v>
      </c>
      <c r="N27" s="173" t="e">
        <f t="shared" si="50"/>
        <v>#REF!</v>
      </c>
      <c r="O27" s="176"/>
      <c r="P27" s="253">
        <v>99</v>
      </c>
      <c r="Q27" s="173">
        <f t="shared" si="3"/>
        <v>5.5067304483257312E-3</v>
      </c>
      <c r="R27" s="172" t="e">
        <f>VLOOKUP($B27,#REF!,4,FALSE)</f>
        <v>#REF!</v>
      </c>
      <c r="S27" s="173" t="e">
        <f t="shared" si="4"/>
        <v>#REF!</v>
      </c>
      <c r="T27" s="172" t="e">
        <f t="shared" si="51"/>
        <v>#REF!</v>
      </c>
      <c r="U27" s="173" t="e">
        <f t="shared" si="52"/>
        <v>#REF!</v>
      </c>
      <c r="V27" s="173" t="e">
        <f t="shared" si="53"/>
        <v>#REF!</v>
      </c>
      <c r="W27" s="1"/>
      <c r="X27" s="189">
        <f>VLOOKUP($B27,'Average RAS salary'!$A$5:$D$62,4,FALSE)</f>
        <v>70414.582627118623</v>
      </c>
      <c r="Y27" s="253">
        <v>74991.00440289214</v>
      </c>
      <c r="Z27" s="252" t="s">
        <v>272</v>
      </c>
      <c r="AA27" s="252" t="s">
        <v>272</v>
      </c>
      <c r="AB27" s="173">
        <f t="shared" si="5"/>
        <v>1.2855038562922121</v>
      </c>
      <c r="AC27" s="172" t="e">
        <f>VLOOKUP($B27,#REF!,3,FALSE)</f>
        <v>#REF!</v>
      </c>
      <c r="AD27" s="172" t="e">
        <f>VLOOKUP($B27,#REF!,5,FALSE)</f>
        <v>#REF!</v>
      </c>
      <c r="AE27" s="172" t="e">
        <f>VLOOKUP($B27,#REF!,6,FALSE)</f>
        <v>#REF!</v>
      </c>
      <c r="AF27" s="173" t="e">
        <f t="shared" si="6"/>
        <v>#REF!</v>
      </c>
      <c r="AG27" s="172" t="e">
        <f t="shared" si="54"/>
        <v>#REF!</v>
      </c>
      <c r="AH27" s="173" t="e">
        <f t="shared" si="7"/>
        <v>#REF!</v>
      </c>
      <c r="AI27" s="173" t="e">
        <f t="shared" si="8"/>
        <v>#REF!</v>
      </c>
      <c r="AJ27" s="189">
        <v>64861.383191850597</v>
      </c>
      <c r="AK27" s="189">
        <f>VLOOKUP($B27,'Average RAS salary'!$A$5:$D$62,4,FALSE)</f>
        <v>70414.582627118623</v>
      </c>
      <c r="AL27" s="189">
        <f t="shared" si="55"/>
        <v>5553.1994352680267</v>
      </c>
      <c r="AM27" s="173">
        <f t="shared" si="56"/>
        <v>8.5616420156234802E-2</v>
      </c>
      <c r="AN27" s="189" t="e">
        <f t="shared" si="57"/>
        <v>#REF!</v>
      </c>
      <c r="AO27" s="189" t="e">
        <f t="shared" si="58"/>
        <v>#REF!</v>
      </c>
      <c r="AP27" s="189" t="e">
        <f t="shared" si="59"/>
        <v>#REF!</v>
      </c>
      <c r="AQ27" s="189" t="e">
        <f t="shared" si="135"/>
        <v>#REF!</v>
      </c>
      <c r="AR27" s="189" t="e">
        <f t="shared" si="60"/>
        <v>#REF!</v>
      </c>
      <c r="AS27" s="189" t="e">
        <f t="shared" si="9"/>
        <v>#REF!</v>
      </c>
      <c r="AT27" s="213" t="e">
        <f t="shared" si="61"/>
        <v>#REF!</v>
      </c>
      <c r="AU27" s="173" t="e">
        <f t="shared" si="62"/>
        <v>#REF!</v>
      </c>
      <c r="AV27" s="189"/>
      <c r="AW27" s="189">
        <f>VLOOKUP($B27,'Average RAS salary'!$A$5:$D$62,4,FALSE)</f>
        <v>70414.582627118623</v>
      </c>
      <c r="AX27" s="189" t="e">
        <f t="shared" si="10"/>
        <v>#REF!</v>
      </c>
      <c r="AY27" s="189">
        <v>66078.506146009924</v>
      </c>
      <c r="AZ27" s="189" t="e">
        <f t="shared" si="11"/>
        <v>#REF!</v>
      </c>
      <c r="BA27" s="189" t="e">
        <f t="shared" si="63"/>
        <v>#REF!</v>
      </c>
      <c r="BB27" s="189" t="e">
        <f t="shared" si="64"/>
        <v>#REF!</v>
      </c>
      <c r="BC27" s="189" t="e">
        <f t="shared" si="65"/>
        <v>#REF!</v>
      </c>
      <c r="BD27" s="213">
        <f t="shared" si="66"/>
        <v>-4336.0764811086992</v>
      </c>
      <c r="BE27" s="173">
        <f t="shared" si="67"/>
        <v>-6.1579239971788956E-2</v>
      </c>
      <c r="BF27" s="189"/>
      <c r="BG27" s="189">
        <f>VLOOKUP($B27,'Average RAS salary'!$A$5:$D$62,4,FALSE)</f>
        <v>70414.582627118623</v>
      </c>
      <c r="BH27" s="189" t="e">
        <f t="shared" si="68"/>
        <v>#REF!</v>
      </c>
      <c r="BI27" s="189" t="e">
        <f>$BG$65*#REF!</f>
        <v>#REF!</v>
      </c>
      <c r="BJ27" s="189" t="e">
        <f t="shared" si="69"/>
        <v>#REF!</v>
      </c>
      <c r="BK27" s="189" t="e">
        <f t="shared" si="12"/>
        <v>#REF!</v>
      </c>
      <c r="BL27" s="189" t="e">
        <f t="shared" si="13"/>
        <v>#REF!</v>
      </c>
      <c r="BM27" s="189" t="e">
        <f t="shared" si="70"/>
        <v>#REF!</v>
      </c>
      <c r="BN27" s="213" t="e">
        <f t="shared" si="71"/>
        <v>#REF!</v>
      </c>
      <c r="BO27" s="173" t="e">
        <f t="shared" si="72"/>
        <v>#REF!</v>
      </c>
      <c r="BP27" s="189"/>
      <c r="BQ27" s="189">
        <f>VLOOKUP($B27,'Average RAS salary'!$A$5:$D$62,4,FALSE)</f>
        <v>70414.582627118623</v>
      </c>
      <c r="BR27" s="189" t="e">
        <f t="shared" si="73"/>
        <v>#REF!</v>
      </c>
      <c r="BS27" s="189" t="e">
        <f>VLOOKUP($B27,#REF!,19,FALSE)*$BQ$65</f>
        <v>#REF!</v>
      </c>
      <c r="BT27" s="189" t="e">
        <f t="shared" si="74"/>
        <v>#REF!</v>
      </c>
      <c r="BU27" s="189" t="e">
        <f t="shared" si="75"/>
        <v>#REF!</v>
      </c>
      <c r="BV27" s="189" t="e">
        <f t="shared" si="76"/>
        <v>#REF!</v>
      </c>
      <c r="BW27" s="189" t="e">
        <f t="shared" si="77"/>
        <v>#REF!</v>
      </c>
      <c r="BX27" s="213" t="e">
        <f t="shared" si="78"/>
        <v>#REF!</v>
      </c>
      <c r="BY27" s="173" t="e">
        <f t="shared" si="79"/>
        <v>#REF!</v>
      </c>
      <c r="BZ27" s="189"/>
      <c r="CA27" s="189">
        <f>VLOOKUP($B27,'Average RAS salary'!$A$5:$D$62,4,FALSE)</f>
        <v>70414.582627118623</v>
      </c>
      <c r="CB27" s="189" t="e">
        <f t="shared" si="80"/>
        <v>#REF!</v>
      </c>
      <c r="CC27" s="189" t="e">
        <f>IF(VLOOKUP($B27,#REF!,7,FALSE)&gt;VLOOKUP($B27,#REF!,19,FALSE)*$CA$65,VLOOKUP($B27,#REF!,19,FALSE)*$CA$65,VLOOKUP($B27,#REF!,7,FALSE))</f>
        <v>#REF!</v>
      </c>
      <c r="CD27" s="189" t="e">
        <f t="shared" si="81"/>
        <v>#REF!</v>
      </c>
      <c r="CE27" s="189" t="e">
        <f t="shared" si="82"/>
        <v>#REF!</v>
      </c>
      <c r="CF27" s="189" t="e">
        <f t="shared" si="83"/>
        <v>#REF!</v>
      </c>
      <c r="CG27" s="189" t="e">
        <f t="shared" si="84"/>
        <v>#REF!</v>
      </c>
      <c r="CH27" s="213" t="e">
        <f t="shared" si="85"/>
        <v>#REF!</v>
      </c>
      <c r="CI27" s="173" t="e">
        <f t="shared" si="86"/>
        <v>#REF!</v>
      </c>
      <c r="CJ27" s="189"/>
      <c r="CK27" s="189">
        <f>VLOOKUP($B27,'Average RAS salary'!$A$5:$D$62,4,FALSE)</f>
        <v>70414.582627118623</v>
      </c>
      <c r="CL27" s="189" t="e">
        <f t="shared" si="87"/>
        <v>#REF!</v>
      </c>
      <c r="CM27" s="189" t="e">
        <f>IF($AY27&gt;VLOOKUP($B27,#REF!,19,FALSE)*$CK$65,VLOOKUP($B27,#REF!,19,FALSE)*$CK$65,$AY27)</f>
        <v>#REF!</v>
      </c>
      <c r="CN27" s="189" t="e">
        <f t="shared" si="88"/>
        <v>#REF!</v>
      </c>
      <c r="CO27" s="189" t="e">
        <f t="shared" si="89"/>
        <v>#REF!</v>
      </c>
      <c r="CP27" s="189" t="e">
        <f t="shared" si="90"/>
        <v>#REF!</v>
      </c>
      <c r="CQ27" s="189" t="e">
        <f t="shared" si="91"/>
        <v>#REF!</v>
      </c>
      <c r="CR27" s="213" t="e">
        <f t="shared" si="92"/>
        <v>#REF!</v>
      </c>
      <c r="CS27" s="173" t="e">
        <f t="shared" si="93"/>
        <v>#REF!</v>
      </c>
      <c r="CT27" s="1"/>
      <c r="CU27" s="254">
        <v>0.31170642087666633</v>
      </c>
      <c r="CV27" s="252">
        <v>13631.969999999979</v>
      </c>
      <c r="CW27" s="254">
        <v>0.29165311521875198</v>
      </c>
      <c r="CX27" s="255">
        <v>13631.97</v>
      </c>
      <c r="CY27" s="190" t="e">
        <f>VLOOKUP($B27,#REF!,13,FALSE)</f>
        <v>#REF!</v>
      </c>
      <c r="CZ27" s="172" t="e">
        <f>VLOOKUP($B27,#REF!,14,FALSE)</f>
        <v>#REF!</v>
      </c>
      <c r="DA27" s="190" t="e">
        <f>VLOOKUP($B27,#REF!,15,FALSE)</f>
        <v>#REF!</v>
      </c>
      <c r="DB27" s="189" t="e">
        <f>VLOOKUP($B27,#REF!,16,FALSE)</f>
        <v>#REF!</v>
      </c>
      <c r="DC27" s="190" t="e">
        <f t="shared" si="94"/>
        <v>#REF!</v>
      </c>
      <c r="DD27" s="190" t="e">
        <f t="shared" si="95"/>
        <v>#REF!</v>
      </c>
      <c r="DE27" s="190" t="e">
        <f t="shared" si="96"/>
        <v>#REF!</v>
      </c>
      <c r="DF27" s="190" t="e">
        <f t="shared" si="97"/>
        <v>#REF!</v>
      </c>
      <c r="DG27" s="1"/>
      <c r="DH27" s="253" t="s">
        <v>272</v>
      </c>
      <c r="DI27" s="253">
        <v>0</v>
      </c>
      <c r="DJ27" s="173">
        <f t="shared" si="98"/>
        <v>0</v>
      </c>
      <c r="DK27" s="172" t="e">
        <f>IF(VLOOKUP($B27,#REF!,6,FALSE)="Y","Yes","")</f>
        <v>#REF!</v>
      </c>
      <c r="DL27" s="172" t="e">
        <f>VLOOKUP($B27,#REF!,4,FALSE)</f>
        <v>#REF!</v>
      </c>
      <c r="DM27" s="173" t="e">
        <f t="shared" si="15"/>
        <v>#REF!</v>
      </c>
      <c r="DN27" s="1"/>
      <c r="DO27" s="172">
        <f t="shared" si="99"/>
        <v>13074250.695997864</v>
      </c>
      <c r="DP27" s="252">
        <v>12424588.991675027</v>
      </c>
      <c r="DQ27" s="172">
        <f t="shared" si="100"/>
        <v>-649661.70432283729</v>
      </c>
      <c r="DR27" s="173">
        <f t="shared" si="16"/>
        <v>-4.9690167293618144E-2</v>
      </c>
      <c r="DS27" s="172">
        <f t="shared" si="101"/>
        <v>12424588.991675027</v>
      </c>
      <c r="DT27" s="252">
        <v>12658029.147730503</v>
      </c>
      <c r="DU27" s="172">
        <f t="shared" si="102"/>
        <v>233440.15605547652</v>
      </c>
      <c r="DV27" s="173">
        <f t="shared" si="103"/>
        <v>1.7854954863832807E-2</v>
      </c>
      <c r="DW27" s="172">
        <f t="shared" si="104"/>
        <v>12658029.147730503</v>
      </c>
      <c r="DX27" s="252">
        <v>12709490.456296701</v>
      </c>
      <c r="DY27" s="172">
        <f t="shared" si="105"/>
        <v>51461.308566197753</v>
      </c>
      <c r="DZ27" s="173">
        <f t="shared" si="106"/>
        <v>3.9360809091683151E-3</v>
      </c>
      <c r="EA27" s="172">
        <f t="shared" si="107"/>
        <v>12709490.456296701</v>
      </c>
      <c r="EB27" s="252">
        <v>13020448.482792549</v>
      </c>
      <c r="EC27" s="172">
        <f t="shared" si="108"/>
        <v>310958.02649584785</v>
      </c>
      <c r="ED27" s="173">
        <f t="shared" si="109"/>
        <v>2.3784003666920253E-2</v>
      </c>
      <c r="EE27" s="172">
        <f t="shared" si="110"/>
        <v>13020448.482792549</v>
      </c>
      <c r="EF27" s="252">
        <v>13085180.927741446</v>
      </c>
      <c r="EG27" s="172">
        <f t="shared" si="111"/>
        <v>64732.444948896766</v>
      </c>
      <c r="EH27" s="173">
        <f t="shared" si="112"/>
        <v>4.9511399508892625E-3</v>
      </c>
      <c r="EI27" s="172">
        <f t="shared" si="113"/>
        <v>13085180.927741446</v>
      </c>
      <c r="EJ27" s="252">
        <v>13074250.695997864</v>
      </c>
      <c r="EK27" s="172">
        <f t="shared" si="114"/>
        <v>-10930.231743581593</v>
      </c>
      <c r="EL27" s="173">
        <f t="shared" si="115"/>
        <v>-8.3601209719249355E-4</v>
      </c>
      <c r="EM27" s="172">
        <f t="shared" si="116"/>
        <v>0</v>
      </c>
      <c r="EN27" s="173">
        <f t="shared" si="17"/>
        <v>0</v>
      </c>
      <c r="EO27" s="214"/>
      <c r="EP27" s="273">
        <v>7553266.7278934838</v>
      </c>
      <c r="EQ27" s="273">
        <v>7403284.7190876994</v>
      </c>
      <c r="ER27" s="172">
        <f t="shared" si="117"/>
        <v>-149982.0088057844</v>
      </c>
      <c r="ES27" s="173">
        <f t="shared" si="18"/>
        <v>-1.9856575202344615E-2</v>
      </c>
      <c r="ET27" s="273">
        <v>3680323.2915635244</v>
      </c>
      <c r="EU27" s="273">
        <v>3606308.9964027805</v>
      </c>
      <c r="EV27" s="172">
        <f t="shared" si="118"/>
        <v>-74014.295160743874</v>
      </c>
      <c r="EW27" s="173">
        <f t="shared" si="19"/>
        <v>-2.011081345228781E-2</v>
      </c>
      <c r="EX27" s="273">
        <v>2073171.87</v>
      </c>
      <c r="EY27" s="273">
        <v>2031289.61</v>
      </c>
      <c r="EZ27" s="172">
        <f t="shared" si="119"/>
        <v>-41882.260000000009</v>
      </c>
      <c r="FA27" s="173">
        <f t="shared" si="20"/>
        <v>-2.0202020202020204E-2</v>
      </c>
      <c r="FB27" s="172">
        <f t="shared" si="120"/>
        <v>7403284.7190876994</v>
      </c>
      <c r="FC27" s="273">
        <v>7555752.8022396574</v>
      </c>
      <c r="FD27" s="172">
        <f t="shared" si="121"/>
        <v>152468.08315195795</v>
      </c>
      <c r="FE27" s="173">
        <f t="shared" si="21"/>
        <v>2.0594653446037729E-2</v>
      </c>
      <c r="FF27" s="172">
        <f t="shared" si="122"/>
        <v>3606308.9964027805</v>
      </c>
      <c r="FG27" s="273">
        <v>3653253.9584932663</v>
      </c>
      <c r="FH27" s="172">
        <f t="shared" si="123"/>
        <v>46944.962090485729</v>
      </c>
      <c r="FI27" s="173">
        <f t="shared" si="22"/>
        <v>1.3017454171928242E-2</v>
      </c>
      <c r="FJ27" s="172">
        <f t="shared" si="124"/>
        <v>7555752.8022396574</v>
      </c>
      <c r="FK27" s="273">
        <v>7625613.4139110949</v>
      </c>
      <c r="FL27" s="172">
        <f t="shared" si="125"/>
        <v>69860.611671437509</v>
      </c>
      <c r="FM27" s="173">
        <f t="shared" si="23"/>
        <v>9.246016048954064E-3</v>
      </c>
      <c r="FN27" s="172">
        <f t="shared" si="126"/>
        <v>3653253.9584932663</v>
      </c>
      <c r="FO27" s="273">
        <v>3674805.9861247102</v>
      </c>
      <c r="FP27" s="172">
        <f t="shared" si="127"/>
        <v>21552.027631443925</v>
      </c>
      <c r="FQ27" s="173">
        <f t="shared" si="24"/>
        <v>5.8994058109041944E-3</v>
      </c>
      <c r="FR27" s="172">
        <f t="shared" si="128"/>
        <v>3674805.9861247102</v>
      </c>
      <c r="FS27" s="273">
        <v>3576948.218189911</v>
      </c>
      <c r="FT27" s="172">
        <f t="shared" si="129"/>
        <v>-97857.767934799194</v>
      </c>
      <c r="FU27" s="173">
        <f t="shared" si="25"/>
        <v>-2.6629369905320013E-2</v>
      </c>
      <c r="FV27" s="172">
        <f t="shared" si="26"/>
        <v>2031289.61</v>
      </c>
      <c r="FW27" s="273">
        <v>2207318.42</v>
      </c>
      <c r="FX27" s="172">
        <f t="shared" si="130"/>
        <v>176028.80999999982</v>
      </c>
      <c r="FY27" s="173">
        <f t="shared" si="27"/>
        <v>8.6658647360481414E-2</v>
      </c>
      <c r="FZ27" s="214"/>
      <c r="GA27" s="172">
        <f t="shared" si="28"/>
        <v>7553266.7278934838</v>
      </c>
      <c r="GB27" s="172">
        <f t="shared" si="29"/>
        <v>-149982.0088057844</v>
      </c>
      <c r="GC27" s="172">
        <f t="shared" si="30"/>
        <v>152468.08315195795</v>
      </c>
      <c r="GD27" s="172">
        <f t="shared" si="31"/>
        <v>69860.611671437509</v>
      </c>
      <c r="GE27" s="172">
        <f t="shared" si="32"/>
        <v>72346.686017611064</v>
      </c>
      <c r="GF27" s="172">
        <f t="shared" si="33"/>
        <v>7625613.4139110949</v>
      </c>
      <c r="GG27" s="173">
        <f t="shared" si="34"/>
        <v>9.57819823182488E-3</v>
      </c>
      <c r="GH27" s="244"/>
      <c r="GI27" s="172">
        <f t="shared" si="35"/>
        <v>3680323.2915635244</v>
      </c>
      <c r="GJ27" s="172">
        <f t="shared" si="36"/>
        <v>-74014.295160743874</v>
      </c>
      <c r="GK27" s="172">
        <f t="shared" si="37"/>
        <v>46944.962090485729</v>
      </c>
      <c r="GL27" s="172">
        <f t="shared" si="38"/>
        <v>21552.027631443925</v>
      </c>
      <c r="GM27" s="172">
        <f t="shared" si="39"/>
        <v>-97857.767934799194</v>
      </c>
      <c r="GN27" s="172">
        <f t="shared" si="40"/>
        <v>-103375.07337361341</v>
      </c>
      <c r="GO27" s="172">
        <f t="shared" si="41"/>
        <v>3576948.218189911</v>
      </c>
      <c r="GP27" s="173">
        <f t="shared" si="42"/>
        <v>-2.8088584937791219E-2</v>
      </c>
      <c r="GQ27" s="214"/>
      <c r="GR27" s="172">
        <f t="shared" si="43"/>
        <v>2073171.87</v>
      </c>
      <c r="GS27" s="172">
        <f t="shared" si="44"/>
        <v>-41882.260000000009</v>
      </c>
      <c r="GT27" s="172">
        <f t="shared" si="45"/>
        <v>176028.80999999982</v>
      </c>
      <c r="GU27" s="172">
        <f t="shared" si="131"/>
        <v>134146.54999999981</v>
      </c>
      <c r="GV27" s="172">
        <f t="shared" si="132"/>
        <v>2207318.42</v>
      </c>
      <c r="GW27" s="173">
        <f t="shared" si="133"/>
        <v>6.4705947413805018E-2</v>
      </c>
      <c r="GX27" s="214"/>
      <c r="GY27" s="273">
        <v>-232511.19345914503</v>
      </c>
      <c r="GZ27" s="172" t="e">
        <f t="shared" si="134"/>
        <v>#REF!</v>
      </c>
      <c r="HA27" s="172" t="e">
        <f>-VLOOKUP($B27,#REF!,23,FALSE)</f>
        <v>#REF!</v>
      </c>
    </row>
    <row r="28" spans="1:209" ht="15" customHeight="1" x14ac:dyDescent="0.45">
      <c r="A28" s="148">
        <v>1</v>
      </c>
      <c r="B28" s="212" t="s">
        <v>12</v>
      </c>
      <c r="C28" s="172">
        <v>920592.56100504461</v>
      </c>
      <c r="D28" s="173">
        <f t="shared" si="0"/>
        <v>6.390838265084379E-4</v>
      </c>
      <c r="E28" s="1"/>
      <c r="F28" s="252">
        <v>1221848.0251891071</v>
      </c>
      <c r="G28" s="173">
        <f t="shared" si="1"/>
        <v>5.1990866950309676E-4</v>
      </c>
      <c r="H28" s="173">
        <f t="shared" si="46"/>
        <v>0.81352186980471541</v>
      </c>
      <c r="I28" s="172" t="e">
        <f>VLOOKUP($B28,#REF!,24,FALSE)</f>
        <v>#REF!</v>
      </c>
      <c r="J28" s="173" t="e">
        <f t="shared" si="2"/>
        <v>#REF!</v>
      </c>
      <c r="K28" s="173" t="e">
        <f t="shared" si="47"/>
        <v>#REF!</v>
      </c>
      <c r="L28" s="172" t="e">
        <f t="shared" si="48"/>
        <v>#REF!</v>
      </c>
      <c r="M28" s="173" t="e">
        <f t="shared" si="49"/>
        <v>#REF!</v>
      </c>
      <c r="N28" s="173" t="e">
        <f t="shared" si="50"/>
        <v>#REF!</v>
      </c>
      <c r="O28" s="176"/>
      <c r="P28" s="253">
        <v>12</v>
      </c>
      <c r="Q28" s="173">
        <f t="shared" si="3"/>
        <v>6.6748247858493715E-4</v>
      </c>
      <c r="R28" s="172" t="e">
        <f>VLOOKUP($B28,#REF!,4,FALSE)</f>
        <v>#REF!</v>
      </c>
      <c r="S28" s="173" t="e">
        <f t="shared" si="4"/>
        <v>#REF!</v>
      </c>
      <c r="T28" s="172" t="e">
        <f t="shared" si="51"/>
        <v>#REF!</v>
      </c>
      <c r="U28" s="173" t="e">
        <f t="shared" si="52"/>
        <v>#REF!</v>
      </c>
      <c r="V28" s="173" t="e">
        <f t="shared" si="53"/>
        <v>#REF!</v>
      </c>
      <c r="W28" s="1"/>
      <c r="X28" s="189">
        <f>VLOOKUP($B28,'Average RAS salary'!$A$5:$D$62,4,FALSE)</f>
        <v>46860.72</v>
      </c>
      <c r="Y28" s="253">
        <v>46965.817563896388</v>
      </c>
      <c r="Z28" s="252" t="s">
        <v>273</v>
      </c>
      <c r="AA28" s="252" t="s">
        <v>272</v>
      </c>
      <c r="AB28" s="173">
        <f t="shared" si="5"/>
        <v>0.80509309180524691</v>
      </c>
      <c r="AC28" s="172" t="e">
        <f>VLOOKUP($B28,#REF!,3,FALSE)</f>
        <v>#REF!</v>
      </c>
      <c r="AD28" s="172" t="e">
        <f>VLOOKUP($B28,#REF!,5,FALSE)</f>
        <v>#REF!</v>
      </c>
      <c r="AE28" s="172" t="e">
        <f>VLOOKUP($B28,#REF!,6,FALSE)</f>
        <v>#REF!</v>
      </c>
      <c r="AF28" s="173" t="e">
        <f t="shared" si="6"/>
        <v>#REF!</v>
      </c>
      <c r="AG28" s="172" t="e">
        <f t="shared" si="54"/>
        <v>#REF!</v>
      </c>
      <c r="AH28" s="173" t="e">
        <f t="shared" si="7"/>
        <v>#REF!</v>
      </c>
      <c r="AI28" s="173" t="e">
        <f t="shared" si="8"/>
        <v>#REF!</v>
      </c>
      <c r="AJ28" s="189">
        <v>46508.510638297877</v>
      </c>
      <c r="AK28" s="189">
        <f>VLOOKUP($B28,'Average RAS salary'!$A$5:$D$62,4,FALSE)</f>
        <v>46860.72</v>
      </c>
      <c r="AL28" s="189">
        <f t="shared" si="55"/>
        <v>352.20936170212372</v>
      </c>
      <c r="AM28" s="173">
        <f t="shared" si="56"/>
        <v>7.5730088293150706E-3</v>
      </c>
      <c r="AN28" s="189" t="e">
        <f t="shared" si="57"/>
        <v>#REF!</v>
      </c>
      <c r="AO28" s="189" t="e">
        <f t="shared" si="58"/>
        <v>#REF!</v>
      </c>
      <c r="AP28" s="189" t="e">
        <f t="shared" si="59"/>
        <v>#REF!</v>
      </c>
      <c r="AQ28" s="189" t="e">
        <f t="shared" si="135"/>
        <v>#REF!</v>
      </c>
      <c r="AR28" s="189" t="e">
        <f t="shared" si="60"/>
        <v>#REF!</v>
      </c>
      <c r="AS28" s="189" t="e">
        <f t="shared" si="9"/>
        <v>#REF!</v>
      </c>
      <c r="AT28" s="213" t="e">
        <f t="shared" si="61"/>
        <v>#REF!</v>
      </c>
      <c r="AU28" s="173" t="e">
        <f t="shared" si="62"/>
        <v>#REF!</v>
      </c>
      <c r="AV28" s="189"/>
      <c r="AW28" s="189">
        <f>VLOOKUP($B28,'Average RAS salary'!$A$5:$D$62,4,FALSE)</f>
        <v>46860.72</v>
      </c>
      <c r="AX28" s="189" t="e">
        <f t="shared" si="10"/>
        <v>#REF!</v>
      </c>
      <c r="AY28" s="189">
        <v>40233.305146246072</v>
      </c>
      <c r="AZ28" s="189" t="e">
        <f t="shared" si="11"/>
        <v>#REF!</v>
      </c>
      <c r="BA28" s="189" t="e">
        <f t="shared" si="63"/>
        <v>#REF!</v>
      </c>
      <c r="BB28" s="189" t="e">
        <f t="shared" si="64"/>
        <v>#REF!</v>
      </c>
      <c r="BC28" s="189" t="e">
        <f t="shared" si="65"/>
        <v>#REF!</v>
      </c>
      <c r="BD28" s="213">
        <f t="shared" si="66"/>
        <v>-6627.4148537539295</v>
      </c>
      <c r="BE28" s="173">
        <f t="shared" si="67"/>
        <v>-0.14142793481948057</v>
      </c>
      <c r="BF28" s="189"/>
      <c r="BG28" s="189">
        <f>VLOOKUP($B28,'Average RAS salary'!$A$5:$D$62,4,FALSE)</f>
        <v>46860.72</v>
      </c>
      <c r="BH28" s="189" t="e">
        <f t="shared" si="68"/>
        <v>#REF!</v>
      </c>
      <c r="BI28" s="189" t="e">
        <f>$BG$65*#REF!</f>
        <v>#REF!</v>
      </c>
      <c r="BJ28" s="189" t="e">
        <f t="shared" si="69"/>
        <v>#REF!</v>
      </c>
      <c r="BK28" s="189" t="e">
        <f t="shared" si="12"/>
        <v>#REF!</v>
      </c>
      <c r="BL28" s="189" t="e">
        <f t="shared" si="13"/>
        <v>#REF!</v>
      </c>
      <c r="BM28" s="189" t="e">
        <f t="shared" si="70"/>
        <v>#REF!</v>
      </c>
      <c r="BN28" s="213" t="e">
        <f t="shared" si="71"/>
        <v>#REF!</v>
      </c>
      <c r="BO28" s="173" t="e">
        <f t="shared" si="72"/>
        <v>#REF!</v>
      </c>
      <c r="BP28" s="189"/>
      <c r="BQ28" s="189">
        <f>VLOOKUP($B28,'Average RAS salary'!$A$5:$D$62,4,FALSE)</f>
        <v>46860.72</v>
      </c>
      <c r="BR28" s="189" t="e">
        <f t="shared" si="73"/>
        <v>#REF!</v>
      </c>
      <c r="BS28" s="189" t="e">
        <f>VLOOKUP($B28,#REF!,19,FALSE)*$BQ$65</f>
        <v>#REF!</v>
      </c>
      <c r="BT28" s="189" t="e">
        <f t="shared" si="74"/>
        <v>#REF!</v>
      </c>
      <c r="BU28" s="189" t="e">
        <f t="shared" si="75"/>
        <v>#REF!</v>
      </c>
      <c r="BV28" s="189" t="e">
        <f t="shared" si="76"/>
        <v>#REF!</v>
      </c>
      <c r="BW28" s="189" t="e">
        <f t="shared" si="77"/>
        <v>#REF!</v>
      </c>
      <c r="BX28" s="213" t="e">
        <f t="shared" si="78"/>
        <v>#REF!</v>
      </c>
      <c r="BY28" s="173" t="e">
        <f t="shared" si="79"/>
        <v>#REF!</v>
      </c>
      <c r="BZ28" s="189"/>
      <c r="CA28" s="189">
        <f>VLOOKUP($B28,'Average RAS salary'!$A$5:$D$62,4,FALSE)</f>
        <v>46860.72</v>
      </c>
      <c r="CB28" s="189" t="e">
        <f t="shared" si="80"/>
        <v>#REF!</v>
      </c>
      <c r="CC28" s="189" t="e">
        <f>IF(VLOOKUP($B28,#REF!,7,FALSE)&gt;VLOOKUP($B28,#REF!,19,FALSE)*$CA$65,VLOOKUP($B28,#REF!,19,FALSE)*$CA$65,VLOOKUP($B28,#REF!,7,FALSE))</f>
        <v>#REF!</v>
      </c>
      <c r="CD28" s="189" t="e">
        <f t="shared" si="81"/>
        <v>#REF!</v>
      </c>
      <c r="CE28" s="189" t="e">
        <f t="shared" si="82"/>
        <v>#REF!</v>
      </c>
      <c r="CF28" s="189" t="e">
        <f t="shared" si="83"/>
        <v>#REF!</v>
      </c>
      <c r="CG28" s="189" t="e">
        <f t="shared" si="84"/>
        <v>#REF!</v>
      </c>
      <c r="CH28" s="213" t="e">
        <f t="shared" si="85"/>
        <v>#REF!</v>
      </c>
      <c r="CI28" s="173" t="e">
        <f t="shared" si="86"/>
        <v>#REF!</v>
      </c>
      <c r="CJ28" s="189"/>
      <c r="CK28" s="189">
        <f>VLOOKUP($B28,'Average RAS salary'!$A$5:$D$62,4,FALSE)</f>
        <v>46860.72</v>
      </c>
      <c r="CL28" s="189" t="e">
        <f t="shared" si="87"/>
        <v>#REF!</v>
      </c>
      <c r="CM28" s="189" t="e">
        <f>IF($AY28&gt;VLOOKUP($B28,#REF!,19,FALSE)*$CK$65,VLOOKUP($B28,#REF!,19,FALSE)*$CK$65,$AY28)</f>
        <v>#REF!</v>
      </c>
      <c r="CN28" s="189" t="e">
        <f t="shared" si="88"/>
        <v>#REF!</v>
      </c>
      <c r="CO28" s="189" t="e">
        <f t="shared" si="89"/>
        <v>#REF!</v>
      </c>
      <c r="CP28" s="189" t="e">
        <f t="shared" si="90"/>
        <v>#REF!</v>
      </c>
      <c r="CQ28" s="189" t="e">
        <f t="shared" si="91"/>
        <v>#REF!</v>
      </c>
      <c r="CR28" s="213" t="e">
        <f t="shared" si="92"/>
        <v>#REF!</v>
      </c>
      <c r="CS28" s="173" t="e">
        <f t="shared" si="93"/>
        <v>#REF!</v>
      </c>
      <c r="CT28" s="1"/>
      <c r="CU28" s="254">
        <v>0.31922802459088179</v>
      </c>
      <c r="CV28" s="252">
        <v>10309.277452229297</v>
      </c>
      <c r="CW28" s="254">
        <v>0.29778999950824925</v>
      </c>
      <c r="CX28" s="255">
        <v>15415.88</v>
      </c>
      <c r="CY28" s="190" t="e">
        <f>VLOOKUP($B28,#REF!,13,FALSE)</f>
        <v>#REF!</v>
      </c>
      <c r="CZ28" s="172" t="e">
        <f>VLOOKUP($B28,#REF!,14,FALSE)</f>
        <v>#REF!</v>
      </c>
      <c r="DA28" s="190" t="e">
        <f>VLOOKUP($B28,#REF!,15,FALSE)</f>
        <v>#REF!</v>
      </c>
      <c r="DB28" s="189" t="e">
        <f>VLOOKUP($B28,#REF!,16,FALSE)</f>
        <v>#REF!</v>
      </c>
      <c r="DC28" s="190" t="e">
        <f t="shared" si="94"/>
        <v>#REF!</v>
      </c>
      <c r="DD28" s="190" t="e">
        <f t="shared" si="95"/>
        <v>#REF!</v>
      </c>
      <c r="DE28" s="190" t="e">
        <f t="shared" si="96"/>
        <v>#REF!</v>
      </c>
      <c r="DF28" s="190" t="e">
        <f t="shared" si="97"/>
        <v>#REF!</v>
      </c>
      <c r="DG28" s="1"/>
      <c r="DH28" s="253" t="s">
        <v>272</v>
      </c>
      <c r="DI28" s="253">
        <v>0</v>
      </c>
      <c r="DJ28" s="173">
        <f t="shared" si="98"/>
        <v>0</v>
      </c>
      <c r="DK28" s="172" t="e">
        <f>IF(VLOOKUP($B28,#REF!,6,FALSE)="Y","Yes","")</f>
        <v>#REF!</v>
      </c>
      <c r="DL28" s="172" t="e">
        <f>VLOOKUP($B28,#REF!,4,FALSE)</f>
        <v>#REF!</v>
      </c>
      <c r="DM28" s="173" t="e">
        <f t="shared" si="15"/>
        <v>#REF!</v>
      </c>
      <c r="DN28" s="1"/>
      <c r="DO28" s="172">
        <f t="shared" si="99"/>
        <v>1221848.0251891071</v>
      </c>
      <c r="DP28" s="252">
        <v>1183808.4317954797</v>
      </c>
      <c r="DQ28" s="172">
        <f t="shared" si="100"/>
        <v>-38039.593393627321</v>
      </c>
      <c r="DR28" s="173">
        <f t="shared" si="16"/>
        <v>-3.1132835352203382E-2</v>
      </c>
      <c r="DS28" s="172">
        <f t="shared" si="101"/>
        <v>1183808.4317954797</v>
      </c>
      <c r="DT28" s="252">
        <v>1204888.5635619136</v>
      </c>
      <c r="DU28" s="172">
        <f t="shared" si="102"/>
        <v>21080.131766433828</v>
      </c>
      <c r="DV28" s="173">
        <f t="shared" si="103"/>
        <v>1.7252662632221572E-2</v>
      </c>
      <c r="DW28" s="172">
        <f t="shared" si="104"/>
        <v>1204888.5635619136</v>
      </c>
      <c r="DX28" s="252">
        <v>1232329.9969923669</v>
      </c>
      <c r="DY28" s="172">
        <f t="shared" si="105"/>
        <v>27441.433430453297</v>
      </c>
      <c r="DZ28" s="173">
        <f t="shared" si="106"/>
        <v>2.2458957959363358E-2</v>
      </c>
      <c r="EA28" s="172">
        <f t="shared" si="107"/>
        <v>1232329.9969923669</v>
      </c>
      <c r="EB28" s="252">
        <v>1202904.5636976999</v>
      </c>
      <c r="EC28" s="172">
        <f t="shared" si="108"/>
        <v>-29425.433294666931</v>
      </c>
      <c r="ED28" s="173">
        <f t="shared" si="109"/>
        <v>-2.408272771084826E-2</v>
      </c>
      <c r="EE28" s="172">
        <f t="shared" si="110"/>
        <v>1202904.5636976999</v>
      </c>
      <c r="EF28" s="252">
        <v>1223221.6709524607</v>
      </c>
      <c r="EG28" s="172">
        <f t="shared" si="111"/>
        <v>20317.107254760806</v>
      </c>
      <c r="EH28" s="173">
        <f t="shared" si="112"/>
        <v>1.6628178657174898E-2</v>
      </c>
      <c r="EI28" s="172">
        <f t="shared" si="113"/>
        <v>1223221.6709524607</v>
      </c>
      <c r="EJ28" s="252">
        <v>1221848.0251891071</v>
      </c>
      <c r="EK28" s="172">
        <f t="shared" si="114"/>
        <v>-1373.6457633536775</v>
      </c>
      <c r="EL28" s="173">
        <f t="shared" si="115"/>
        <v>-1.1242361857081828E-3</v>
      </c>
      <c r="EM28" s="172">
        <f t="shared" si="116"/>
        <v>0</v>
      </c>
      <c r="EN28" s="173">
        <f t="shared" si="17"/>
        <v>0</v>
      </c>
      <c r="EO28" s="214"/>
      <c r="EP28" s="273">
        <v>611556.69809076341</v>
      </c>
      <c r="EQ28" s="273">
        <v>611556.69809076341</v>
      </c>
      <c r="ER28" s="172">
        <f t="shared" si="117"/>
        <v>0</v>
      </c>
      <c r="ES28" s="173">
        <f t="shared" si="18"/>
        <v>0</v>
      </c>
      <c r="ET28" s="273">
        <v>330208.29526842904</v>
      </c>
      <c r="EU28" s="273">
        <v>330208.29526842904</v>
      </c>
      <c r="EV28" s="172">
        <f t="shared" si="118"/>
        <v>0</v>
      </c>
      <c r="EW28" s="173">
        <f t="shared" si="19"/>
        <v>0</v>
      </c>
      <c r="EX28" s="273">
        <v>355453.68</v>
      </c>
      <c r="EY28" s="273">
        <v>355453.68</v>
      </c>
      <c r="EZ28" s="172">
        <f t="shared" si="119"/>
        <v>0</v>
      </c>
      <c r="FA28" s="173">
        <f t="shared" si="20"/>
        <v>0</v>
      </c>
      <c r="FB28" s="172">
        <f t="shared" si="120"/>
        <v>611556.69809076341</v>
      </c>
      <c r="FC28" s="273">
        <v>618737.31494416227</v>
      </c>
      <c r="FD28" s="172">
        <f t="shared" si="121"/>
        <v>7180.616853398853</v>
      </c>
      <c r="FE28" s="173">
        <f t="shared" si="21"/>
        <v>1.1741539052415302E-2</v>
      </c>
      <c r="FF28" s="172">
        <f t="shared" si="122"/>
        <v>330208.29526842904</v>
      </c>
      <c r="FG28" s="273">
        <v>332526.45346405078</v>
      </c>
      <c r="FH28" s="172">
        <f t="shared" si="123"/>
        <v>2318.1581956217415</v>
      </c>
      <c r="FI28" s="173">
        <f t="shared" si="22"/>
        <v>7.0202906130425692E-3</v>
      </c>
      <c r="FJ28" s="172">
        <f t="shared" si="124"/>
        <v>618737.31494416227</v>
      </c>
      <c r="FK28" s="273">
        <v>691676.01749146811</v>
      </c>
      <c r="FL28" s="172">
        <f t="shared" si="125"/>
        <v>72938.702547305846</v>
      </c>
      <c r="FM28" s="173">
        <f t="shared" si="23"/>
        <v>0.11788314812383374</v>
      </c>
      <c r="FN28" s="172">
        <f t="shared" si="126"/>
        <v>332526.45346405078</v>
      </c>
      <c r="FO28" s="273">
        <v>355336.29050779121</v>
      </c>
      <c r="FP28" s="172">
        <f t="shared" si="127"/>
        <v>22809.837043740437</v>
      </c>
      <c r="FQ28" s="173">
        <f t="shared" si="24"/>
        <v>6.8595556251606293E-2</v>
      </c>
      <c r="FR28" s="172">
        <f t="shared" si="128"/>
        <v>355336.29050779121</v>
      </c>
      <c r="FS28" s="273">
        <v>352998.34025892743</v>
      </c>
      <c r="FT28" s="172">
        <f t="shared" si="129"/>
        <v>-2337.9502488637809</v>
      </c>
      <c r="FU28" s="173">
        <f t="shared" si="25"/>
        <v>-6.579542566628213E-3</v>
      </c>
      <c r="FV28" s="172">
        <f t="shared" si="26"/>
        <v>355453.68</v>
      </c>
      <c r="FW28" s="273">
        <v>391461.6</v>
      </c>
      <c r="FX28" s="172">
        <f t="shared" si="130"/>
        <v>36007.919999999984</v>
      </c>
      <c r="FY28" s="173">
        <f t="shared" si="27"/>
        <v>0.1013013003550842</v>
      </c>
      <c r="FZ28" s="214"/>
      <c r="GA28" s="172">
        <f t="shared" si="28"/>
        <v>611556.69809076341</v>
      </c>
      <c r="GB28" s="172">
        <f t="shared" si="29"/>
        <v>0</v>
      </c>
      <c r="GC28" s="172">
        <f t="shared" si="30"/>
        <v>7180.616853398853</v>
      </c>
      <c r="GD28" s="172">
        <f t="shared" si="31"/>
        <v>72938.702547305846</v>
      </c>
      <c r="GE28" s="172">
        <f t="shared" si="32"/>
        <v>80119.319400704699</v>
      </c>
      <c r="GF28" s="172">
        <f t="shared" si="33"/>
        <v>691676.01749146811</v>
      </c>
      <c r="GG28" s="173">
        <f t="shared" si="34"/>
        <v>0.13100881676356668</v>
      </c>
      <c r="GH28" s="244"/>
      <c r="GI28" s="172">
        <f t="shared" si="35"/>
        <v>330208.29526842904</v>
      </c>
      <c r="GJ28" s="172">
        <f t="shared" si="36"/>
        <v>0</v>
      </c>
      <c r="GK28" s="172">
        <f t="shared" si="37"/>
        <v>2318.1581956217415</v>
      </c>
      <c r="GL28" s="172">
        <f t="shared" si="38"/>
        <v>22809.837043740437</v>
      </c>
      <c r="GM28" s="172">
        <f t="shared" si="39"/>
        <v>-2337.9502488637809</v>
      </c>
      <c r="GN28" s="172">
        <f t="shared" si="40"/>
        <v>22790.044990498398</v>
      </c>
      <c r="GO28" s="172">
        <f t="shared" si="41"/>
        <v>352998.34025892743</v>
      </c>
      <c r="GP28" s="173">
        <f t="shared" si="42"/>
        <v>6.9017178905127693E-2</v>
      </c>
      <c r="GQ28" s="214"/>
      <c r="GR28" s="172">
        <f t="shared" si="43"/>
        <v>355453.68</v>
      </c>
      <c r="GS28" s="172">
        <f t="shared" si="44"/>
        <v>0</v>
      </c>
      <c r="GT28" s="172">
        <f t="shared" si="45"/>
        <v>36007.919999999984</v>
      </c>
      <c r="GU28" s="172">
        <f t="shared" si="131"/>
        <v>36007.919999999984</v>
      </c>
      <c r="GV28" s="172">
        <f t="shared" si="132"/>
        <v>391461.6</v>
      </c>
      <c r="GW28" s="173">
        <f t="shared" si="133"/>
        <v>0.1013013003550842</v>
      </c>
      <c r="GX28" s="214"/>
      <c r="GY28" s="273">
        <v>-75370.648170085435</v>
      </c>
      <c r="GZ28" s="172" t="e">
        <f t="shared" si="134"/>
        <v>#REF!</v>
      </c>
      <c r="HA28" s="172" t="e">
        <f>-VLOOKUP($B28,#REF!,23,FALSE)</f>
        <v>#REF!</v>
      </c>
    </row>
    <row r="29" spans="1:209" ht="15" customHeight="1" x14ac:dyDescent="0.45">
      <c r="A29" s="148">
        <v>2</v>
      </c>
      <c r="B29" s="215" t="s">
        <v>27</v>
      </c>
      <c r="C29" s="172">
        <v>4379075.1719126515</v>
      </c>
      <c r="D29" s="173">
        <f t="shared" si="0"/>
        <v>3.0399942775756333E-3</v>
      </c>
      <c r="E29" s="1"/>
      <c r="F29" s="252">
        <v>6680382.8556485046</v>
      </c>
      <c r="G29" s="173">
        <f t="shared" si="1"/>
        <v>2.8425703447971461E-3</v>
      </c>
      <c r="H29" s="173">
        <f t="shared" si="46"/>
        <v>0.93505779460350469</v>
      </c>
      <c r="I29" s="172" t="e">
        <f>VLOOKUP($B29,#REF!,24,FALSE)</f>
        <v>#REF!</v>
      </c>
      <c r="J29" s="173" t="e">
        <f t="shared" si="2"/>
        <v>#REF!</v>
      </c>
      <c r="K29" s="173" t="e">
        <f t="shared" si="47"/>
        <v>#REF!</v>
      </c>
      <c r="L29" s="172" t="e">
        <f t="shared" si="48"/>
        <v>#REF!</v>
      </c>
      <c r="M29" s="173" t="e">
        <f t="shared" si="49"/>
        <v>#REF!</v>
      </c>
      <c r="N29" s="173" t="e">
        <f t="shared" si="50"/>
        <v>#REF!</v>
      </c>
      <c r="O29" s="176"/>
      <c r="P29" s="253">
        <v>67</v>
      </c>
      <c r="Q29" s="173">
        <f t="shared" si="3"/>
        <v>3.7267771720992326E-3</v>
      </c>
      <c r="R29" s="172" t="e">
        <f>VLOOKUP($B29,#REF!,4,FALSE)</f>
        <v>#REF!</v>
      </c>
      <c r="S29" s="173" t="e">
        <f t="shared" si="4"/>
        <v>#REF!</v>
      </c>
      <c r="T29" s="172" t="e">
        <f t="shared" si="51"/>
        <v>#REF!</v>
      </c>
      <c r="U29" s="173" t="e">
        <f t="shared" si="52"/>
        <v>#REF!</v>
      </c>
      <c r="V29" s="173" t="e">
        <f t="shared" si="53"/>
        <v>#REF!</v>
      </c>
      <c r="W29" s="1"/>
      <c r="X29" s="189">
        <f>VLOOKUP($B29,'Average RAS salary'!$A$5:$D$62,4,FALSE)</f>
        <v>53381.611615245012</v>
      </c>
      <c r="Y29" s="253">
        <v>47609.974809698011</v>
      </c>
      <c r="Z29" s="252" t="s">
        <v>272</v>
      </c>
      <c r="AA29" s="252" t="s">
        <v>272</v>
      </c>
      <c r="AB29" s="173">
        <f t="shared" si="5"/>
        <v>0.81613530453635974</v>
      </c>
      <c r="AC29" s="172" t="e">
        <f>VLOOKUP($B29,#REF!,3,FALSE)</f>
        <v>#REF!</v>
      </c>
      <c r="AD29" s="172" t="e">
        <f>VLOOKUP($B29,#REF!,5,FALSE)</f>
        <v>#REF!</v>
      </c>
      <c r="AE29" s="172" t="e">
        <f>VLOOKUP($B29,#REF!,6,FALSE)</f>
        <v>#REF!</v>
      </c>
      <c r="AF29" s="173" t="e">
        <f t="shared" si="6"/>
        <v>#REF!</v>
      </c>
      <c r="AG29" s="172" t="e">
        <f t="shared" si="54"/>
        <v>#REF!</v>
      </c>
      <c r="AH29" s="173" t="e">
        <f t="shared" si="7"/>
        <v>#REF!</v>
      </c>
      <c r="AI29" s="173" t="e">
        <f t="shared" si="8"/>
        <v>#REF!</v>
      </c>
      <c r="AJ29" s="189">
        <v>51625.900523560209</v>
      </c>
      <c r="AK29" s="189">
        <f>VLOOKUP($B29,'Average RAS salary'!$A$5:$D$62,4,FALSE)</f>
        <v>53381.611615245012</v>
      </c>
      <c r="AL29" s="189">
        <f t="shared" si="55"/>
        <v>1755.7110916848033</v>
      </c>
      <c r="AM29" s="173">
        <f t="shared" si="56"/>
        <v>3.4008338331717035E-2</v>
      </c>
      <c r="AN29" s="189" t="e">
        <f t="shared" si="57"/>
        <v>#REF!</v>
      </c>
      <c r="AO29" s="189" t="e">
        <f t="shared" si="58"/>
        <v>#REF!</v>
      </c>
      <c r="AP29" s="189" t="e">
        <f t="shared" si="59"/>
        <v>#REF!</v>
      </c>
      <c r="AQ29" s="189" t="e">
        <f t="shared" si="135"/>
        <v>#REF!</v>
      </c>
      <c r="AR29" s="189" t="e">
        <f t="shared" si="60"/>
        <v>#REF!</v>
      </c>
      <c r="AS29" s="189" t="e">
        <f t="shared" si="9"/>
        <v>#REF!</v>
      </c>
      <c r="AT29" s="213" t="e">
        <f t="shared" si="61"/>
        <v>#REF!</v>
      </c>
      <c r="AU29" s="173" t="e">
        <f t="shared" si="62"/>
        <v>#REF!</v>
      </c>
      <c r="AV29" s="189"/>
      <c r="AW29" s="189">
        <f>VLOOKUP($B29,'Average RAS salary'!$A$5:$D$62,4,FALSE)</f>
        <v>53381.611615245012</v>
      </c>
      <c r="AX29" s="189" t="e">
        <f t="shared" si="10"/>
        <v>#REF!</v>
      </c>
      <c r="AY29" s="189">
        <v>43094.255374224085</v>
      </c>
      <c r="AZ29" s="189" t="e">
        <f t="shared" si="11"/>
        <v>#REF!</v>
      </c>
      <c r="BA29" s="189" t="e">
        <f t="shared" si="63"/>
        <v>#REF!</v>
      </c>
      <c r="BB29" s="189" t="e">
        <f t="shared" si="64"/>
        <v>#REF!</v>
      </c>
      <c r="BC29" s="189" t="e">
        <f t="shared" si="65"/>
        <v>#REF!</v>
      </c>
      <c r="BD29" s="213">
        <f t="shared" si="66"/>
        <v>-10287.356241020927</v>
      </c>
      <c r="BE29" s="173">
        <f t="shared" si="67"/>
        <v>-0.19271348184780182</v>
      </c>
      <c r="BF29" s="189"/>
      <c r="BG29" s="189">
        <f>VLOOKUP($B29,'Average RAS salary'!$A$5:$D$62,4,FALSE)</f>
        <v>53381.611615245012</v>
      </c>
      <c r="BH29" s="189" t="e">
        <f t="shared" si="68"/>
        <v>#REF!</v>
      </c>
      <c r="BI29" s="189" t="e">
        <f>$BG$65*#REF!</f>
        <v>#REF!</v>
      </c>
      <c r="BJ29" s="189" t="e">
        <f t="shared" si="69"/>
        <v>#REF!</v>
      </c>
      <c r="BK29" s="189" t="e">
        <f t="shared" si="12"/>
        <v>#REF!</v>
      </c>
      <c r="BL29" s="189" t="e">
        <f t="shared" si="13"/>
        <v>#REF!</v>
      </c>
      <c r="BM29" s="189" t="e">
        <f t="shared" si="70"/>
        <v>#REF!</v>
      </c>
      <c r="BN29" s="213" t="e">
        <f t="shared" si="71"/>
        <v>#REF!</v>
      </c>
      <c r="BO29" s="173" t="e">
        <f t="shared" si="72"/>
        <v>#REF!</v>
      </c>
      <c r="BP29" s="189"/>
      <c r="BQ29" s="189">
        <f>VLOOKUP($B29,'Average RAS salary'!$A$5:$D$62,4,FALSE)</f>
        <v>53381.611615245012</v>
      </c>
      <c r="BR29" s="189" t="e">
        <f t="shared" si="73"/>
        <v>#REF!</v>
      </c>
      <c r="BS29" s="189" t="e">
        <f>VLOOKUP($B29,#REF!,19,FALSE)*$BQ$65</f>
        <v>#REF!</v>
      </c>
      <c r="BT29" s="189" t="e">
        <f t="shared" si="74"/>
        <v>#REF!</v>
      </c>
      <c r="BU29" s="189" t="e">
        <f t="shared" si="75"/>
        <v>#REF!</v>
      </c>
      <c r="BV29" s="189" t="e">
        <f t="shared" si="76"/>
        <v>#REF!</v>
      </c>
      <c r="BW29" s="189" t="e">
        <f t="shared" si="77"/>
        <v>#REF!</v>
      </c>
      <c r="BX29" s="213" t="e">
        <f t="shared" si="78"/>
        <v>#REF!</v>
      </c>
      <c r="BY29" s="173" t="e">
        <f t="shared" si="79"/>
        <v>#REF!</v>
      </c>
      <c r="BZ29" s="189"/>
      <c r="CA29" s="189">
        <f>VLOOKUP($B29,'Average RAS salary'!$A$5:$D$62,4,FALSE)</f>
        <v>53381.611615245012</v>
      </c>
      <c r="CB29" s="189" t="e">
        <f t="shared" si="80"/>
        <v>#REF!</v>
      </c>
      <c r="CC29" s="189" t="e">
        <f>IF(VLOOKUP($B29,#REF!,7,FALSE)&gt;VLOOKUP($B29,#REF!,19,FALSE)*$CA$65,VLOOKUP($B29,#REF!,19,FALSE)*$CA$65,VLOOKUP($B29,#REF!,7,FALSE))</f>
        <v>#REF!</v>
      </c>
      <c r="CD29" s="189" t="e">
        <f t="shared" si="81"/>
        <v>#REF!</v>
      </c>
      <c r="CE29" s="189" t="e">
        <f t="shared" si="82"/>
        <v>#REF!</v>
      </c>
      <c r="CF29" s="189" t="e">
        <f t="shared" si="83"/>
        <v>#REF!</v>
      </c>
      <c r="CG29" s="189" t="e">
        <f t="shared" si="84"/>
        <v>#REF!</v>
      </c>
      <c r="CH29" s="213" t="e">
        <f t="shared" si="85"/>
        <v>#REF!</v>
      </c>
      <c r="CI29" s="173" t="e">
        <f t="shared" si="86"/>
        <v>#REF!</v>
      </c>
      <c r="CJ29" s="189"/>
      <c r="CK29" s="189">
        <f>VLOOKUP($B29,'Average RAS salary'!$A$5:$D$62,4,FALSE)</f>
        <v>53381.611615245012</v>
      </c>
      <c r="CL29" s="189" t="e">
        <f t="shared" si="87"/>
        <v>#REF!</v>
      </c>
      <c r="CM29" s="189" t="e">
        <f>IF($AY29&gt;VLOOKUP($B29,#REF!,19,FALSE)*$CK$65,VLOOKUP($B29,#REF!,19,FALSE)*$CK$65,$AY29)</f>
        <v>#REF!</v>
      </c>
      <c r="CN29" s="189" t="e">
        <f t="shared" si="88"/>
        <v>#REF!</v>
      </c>
      <c r="CO29" s="189" t="e">
        <f t="shared" si="89"/>
        <v>#REF!</v>
      </c>
      <c r="CP29" s="189" t="e">
        <f t="shared" si="90"/>
        <v>#REF!</v>
      </c>
      <c r="CQ29" s="189" t="e">
        <f t="shared" si="91"/>
        <v>#REF!</v>
      </c>
      <c r="CR29" s="213" t="e">
        <f t="shared" si="92"/>
        <v>#REF!</v>
      </c>
      <c r="CS29" s="173" t="e">
        <f t="shared" si="93"/>
        <v>#REF!</v>
      </c>
      <c r="CT29" s="1"/>
      <c r="CU29" s="254">
        <v>0.47575498797661769</v>
      </c>
      <c r="CV29" s="252">
        <v>9589.3237587977928</v>
      </c>
      <c r="CW29" s="254">
        <v>0.46394615472422668</v>
      </c>
      <c r="CX29" s="255">
        <v>10445.871559633028</v>
      </c>
      <c r="CY29" s="190" t="e">
        <f>VLOOKUP($B29,#REF!,13,FALSE)</f>
        <v>#REF!</v>
      </c>
      <c r="CZ29" s="172" t="e">
        <f>VLOOKUP($B29,#REF!,14,FALSE)</f>
        <v>#REF!</v>
      </c>
      <c r="DA29" s="190" t="e">
        <f>VLOOKUP($B29,#REF!,15,FALSE)</f>
        <v>#REF!</v>
      </c>
      <c r="DB29" s="189" t="e">
        <f>VLOOKUP($B29,#REF!,16,FALSE)</f>
        <v>#REF!</v>
      </c>
      <c r="DC29" s="190" t="e">
        <f t="shared" si="94"/>
        <v>#REF!</v>
      </c>
      <c r="DD29" s="190" t="e">
        <f t="shared" si="95"/>
        <v>#REF!</v>
      </c>
      <c r="DE29" s="190" t="e">
        <f t="shared" si="96"/>
        <v>#REF!</v>
      </c>
      <c r="DF29" s="190" t="e">
        <f t="shared" si="97"/>
        <v>#REF!</v>
      </c>
      <c r="DG29" s="1"/>
      <c r="DH29" s="253" t="s">
        <v>272</v>
      </c>
      <c r="DI29" s="253">
        <v>0</v>
      </c>
      <c r="DJ29" s="173">
        <f t="shared" si="98"/>
        <v>0</v>
      </c>
      <c r="DK29" s="172" t="e">
        <f>IF(VLOOKUP($B29,#REF!,6,FALSE)="Y","Yes","")</f>
        <v>#REF!</v>
      </c>
      <c r="DL29" s="172" t="e">
        <f>VLOOKUP($B29,#REF!,4,FALSE)</f>
        <v>#REF!</v>
      </c>
      <c r="DM29" s="173" t="e">
        <f t="shared" si="15"/>
        <v>#REF!</v>
      </c>
      <c r="DN29" s="1"/>
      <c r="DO29" s="172">
        <f t="shared" si="99"/>
        <v>6680382.8556485046</v>
      </c>
      <c r="DP29" s="252">
        <v>6548675.9072558768</v>
      </c>
      <c r="DQ29" s="172">
        <f t="shared" si="100"/>
        <v>-131706.94839262776</v>
      </c>
      <c r="DR29" s="173">
        <f t="shared" si="16"/>
        <v>-1.9715479073368496E-2</v>
      </c>
      <c r="DS29" s="172">
        <f t="shared" si="101"/>
        <v>6548675.9072558768</v>
      </c>
      <c r="DT29" s="252">
        <v>6664591.6649548439</v>
      </c>
      <c r="DU29" s="172">
        <f t="shared" si="102"/>
        <v>115915.75769896712</v>
      </c>
      <c r="DV29" s="173">
        <f t="shared" si="103"/>
        <v>1.7351663849768155E-2</v>
      </c>
      <c r="DW29" s="172">
        <f t="shared" si="104"/>
        <v>6664591.6649548439</v>
      </c>
      <c r="DX29" s="252">
        <v>6561412.6795225348</v>
      </c>
      <c r="DY29" s="172">
        <f t="shared" si="105"/>
        <v>-103178.9854323091</v>
      </c>
      <c r="DZ29" s="173">
        <f t="shared" si="106"/>
        <v>-1.5445070688585992E-2</v>
      </c>
      <c r="EA29" s="172">
        <f t="shared" si="107"/>
        <v>6561412.6795225348</v>
      </c>
      <c r="EB29" s="252">
        <v>6649158.7109707091</v>
      </c>
      <c r="EC29" s="172">
        <f t="shared" si="108"/>
        <v>87746.031448174268</v>
      </c>
      <c r="ED29" s="173">
        <f t="shared" si="109"/>
        <v>1.3134880641456325E-2</v>
      </c>
      <c r="EE29" s="172">
        <f t="shared" si="110"/>
        <v>6649158.7109707091</v>
      </c>
      <c r="EF29" s="252">
        <v>6692967.5373502644</v>
      </c>
      <c r="EG29" s="172">
        <f t="shared" si="111"/>
        <v>43808.826379555278</v>
      </c>
      <c r="EH29" s="173">
        <f t="shared" si="112"/>
        <v>6.5578316881214878E-3</v>
      </c>
      <c r="EI29" s="172">
        <f t="shared" si="113"/>
        <v>6692967.5373502644</v>
      </c>
      <c r="EJ29" s="252">
        <v>6680382.8556485046</v>
      </c>
      <c r="EK29" s="172">
        <f t="shared" si="114"/>
        <v>-12584.681701759808</v>
      </c>
      <c r="EL29" s="173">
        <f t="shared" si="115"/>
        <v>-1.883826417391483E-3</v>
      </c>
      <c r="EM29" s="172">
        <f t="shared" si="116"/>
        <v>0</v>
      </c>
      <c r="EN29" s="173">
        <f t="shared" si="17"/>
        <v>0</v>
      </c>
      <c r="EO29" s="214"/>
      <c r="EP29" s="273">
        <v>3271867.1528828791</v>
      </c>
      <c r="EQ29" s="273">
        <v>3176647.203263483</v>
      </c>
      <c r="ER29" s="172">
        <f t="shared" si="117"/>
        <v>-95219.949619396124</v>
      </c>
      <c r="ES29" s="173">
        <f t="shared" si="18"/>
        <v>-2.9102633196918387E-2</v>
      </c>
      <c r="ET29" s="273">
        <v>2201066.7946559805</v>
      </c>
      <c r="EU29" s="273">
        <v>2136586.7811520747</v>
      </c>
      <c r="EV29" s="172">
        <f t="shared" si="118"/>
        <v>-64480.013503905851</v>
      </c>
      <c r="EW29" s="173">
        <f t="shared" si="19"/>
        <v>-2.9294891759058982E-2</v>
      </c>
      <c r="EX29" s="273">
        <v>1403055.71</v>
      </c>
      <c r="EY29" s="273">
        <v>1361173.45</v>
      </c>
      <c r="EZ29" s="172">
        <f t="shared" si="119"/>
        <v>-41882.260000000009</v>
      </c>
      <c r="FA29" s="173">
        <f t="shared" si="20"/>
        <v>-2.9850746268656723E-2</v>
      </c>
      <c r="FB29" s="172">
        <f t="shared" si="120"/>
        <v>3176647.203263483</v>
      </c>
      <c r="FC29" s="273">
        <v>3243209.0637168293</v>
      </c>
      <c r="FD29" s="172">
        <f t="shared" si="121"/>
        <v>66561.860453346279</v>
      </c>
      <c r="FE29" s="173">
        <f t="shared" si="21"/>
        <v>2.0953494736514935E-2</v>
      </c>
      <c r="FF29" s="172">
        <f t="shared" si="122"/>
        <v>2136586.7811520747</v>
      </c>
      <c r="FG29" s="273">
        <v>2168081.5921656922</v>
      </c>
      <c r="FH29" s="172">
        <f t="shared" si="123"/>
        <v>31494.811013617553</v>
      </c>
      <c r="FI29" s="173">
        <f t="shared" si="22"/>
        <v>1.4740712285337248E-2</v>
      </c>
      <c r="FJ29" s="172">
        <f t="shared" si="124"/>
        <v>3243209.0637168293</v>
      </c>
      <c r="FK29" s="273">
        <v>3576475.7891503596</v>
      </c>
      <c r="FL29" s="172">
        <f t="shared" si="125"/>
        <v>333266.72543353029</v>
      </c>
      <c r="FM29" s="173">
        <f t="shared" si="23"/>
        <v>0.10275832327984281</v>
      </c>
      <c r="FN29" s="172">
        <f t="shared" si="126"/>
        <v>2168081.5921656922</v>
      </c>
      <c r="FO29" s="273">
        <v>2325939.9631475969</v>
      </c>
      <c r="FP29" s="172">
        <f t="shared" si="127"/>
        <v>157858.37098190468</v>
      </c>
      <c r="FQ29" s="173">
        <f t="shared" si="24"/>
        <v>7.2810161551263519E-2</v>
      </c>
      <c r="FR29" s="172">
        <f t="shared" si="128"/>
        <v>2325939.9631475969</v>
      </c>
      <c r="FS29" s="273">
        <v>2338538.0752729024</v>
      </c>
      <c r="FT29" s="172">
        <f t="shared" si="129"/>
        <v>12598.112125305459</v>
      </c>
      <c r="FU29" s="173">
        <f t="shared" si="25"/>
        <v>5.4163530980640461E-3</v>
      </c>
      <c r="FV29" s="172">
        <f t="shared" si="26"/>
        <v>1361173.45</v>
      </c>
      <c r="FW29" s="273">
        <v>1479130.9000000001</v>
      </c>
      <c r="FX29" s="172">
        <f t="shared" si="130"/>
        <v>117957.45000000019</v>
      </c>
      <c r="FY29" s="173">
        <f t="shared" si="27"/>
        <v>8.6658647360481636E-2</v>
      </c>
      <c r="FZ29" s="214"/>
      <c r="GA29" s="172">
        <f t="shared" si="28"/>
        <v>3271867.1528828791</v>
      </c>
      <c r="GB29" s="172">
        <f t="shared" si="29"/>
        <v>-95219.949619396124</v>
      </c>
      <c r="GC29" s="172">
        <f t="shared" si="30"/>
        <v>66561.860453346279</v>
      </c>
      <c r="GD29" s="172">
        <f t="shared" si="31"/>
        <v>333266.72543353029</v>
      </c>
      <c r="GE29" s="172">
        <f t="shared" si="32"/>
        <v>304608.63626748044</v>
      </c>
      <c r="GF29" s="172">
        <f t="shared" si="33"/>
        <v>3576475.7891503596</v>
      </c>
      <c r="GG29" s="173">
        <f t="shared" si="34"/>
        <v>9.3099328925713362E-2</v>
      </c>
      <c r="GH29" s="244"/>
      <c r="GI29" s="172">
        <f t="shared" si="35"/>
        <v>2201066.7946559805</v>
      </c>
      <c r="GJ29" s="172">
        <f t="shared" si="36"/>
        <v>-64480.013503905851</v>
      </c>
      <c r="GK29" s="172">
        <f t="shared" si="37"/>
        <v>31494.811013617553</v>
      </c>
      <c r="GL29" s="172">
        <f t="shared" si="38"/>
        <v>157858.37098190468</v>
      </c>
      <c r="GM29" s="172">
        <f t="shared" si="39"/>
        <v>12598.112125305459</v>
      </c>
      <c r="GN29" s="172">
        <f t="shared" si="40"/>
        <v>137471.28061692184</v>
      </c>
      <c r="GO29" s="172">
        <f t="shared" si="41"/>
        <v>2338538.0752729024</v>
      </c>
      <c r="GP29" s="173">
        <f t="shared" si="42"/>
        <v>6.245666008441518E-2</v>
      </c>
      <c r="GQ29" s="214"/>
      <c r="GR29" s="172">
        <f t="shared" si="43"/>
        <v>1403055.71</v>
      </c>
      <c r="GS29" s="172">
        <f t="shared" si="44"/>
        <v>-41882.260000000009</v>
      </c>
      <c r="GT29" s="172">
        <f t="shared" si="45"/>
        <v>117957.45000000019</v>
      </c>
      <c r="GU29" s="172">
        <f t="shared" si="131"/>
        <v>76075.190000000177</v>
      </c>
      <c r="GV29" s="172">
        <f t="shared" si="132"/>
        <v>1479130.9000000001</v>
      </c>
      <c r="GW29" s="173">
        <f t="shared" si="133"/>
        <v>5.4221075797482185E-2</v>
      </c>
      <c r="GX29" s="214"/>
      <c r="GY29" s="273">
        <v>-195606.80189035536</v>
      </c>
      <c r="GZ29" s="172" t="e">
        <f t="shared" si="134"/>
        <v>#REF!</v>
      </c>
      <c r="HA29" s="172" t="e">
        <f>-VLOOKUP($B29,#REF!,23,FALSE)</f>
        <v>#REF!</v>
      </c>
    </row>
    <row r="30" spans="1:209" ht="15" customHeight="1" x14ac:dyDescent="0.45">
      <c r="A30" s="148">
        <v>2</v>
      </c>
      <c r="B30" s="215" t="s">
        <v>28</v>
      </c>
      <c r="C30" s="172">
        <v>9033368.4853606969</v>
      </c>
      <c r="D30" s="173">
        <f t="shared" si="0"/>
        <v>6.2710475213729328E-3</v>
      </c>
      <c r="E30" s="1"/>
      <c r="F30" s="252">
        <v>16566558.463905076</v>
      </c>
      <c r="G30" s="173">
        <f t="shared" si="1"/>
        <v>7.0492378689085275E-3</v>
      </c>
      <c r="H30" s="173">
        <f t="shared" si="46"/>
        <v>1.1240925610726713</v>
      </c>
      <c r="I30" s="172" t="e">
        <f>VLOOKUP($B30,#REF!,24,FALSE)</f>
        <v>#REF!</v>
      </c>
      <c r="J30" s="173" t="e">
        <f t="shared" si="2"/>
        <v>#REF!</v>
      </c>
      <c r="K30" s="173" t="e">
        <f t="shared" si="47"/>
        <v>#REF!</v>
      </c>
      <c r="L30" s="172" t="e">
        <f t="shared" si="48"/>
        <v>#REF!</v>
      </c>
      <c r="M30" s="173" t="e">
        <f t="shared" si="49"/>
        <v>#REF!</v>
      </c>
      <c r="N30" s="173" t="e">
        <f t="shared" si="50"/>
        <v>#REF!</v>
      </c>
      <c r="O30" s="176"/>
      <c r="P30" s="253">
        <v>142</v>
      </c>
      <c r="Q30" s="173">
        <f t="shared" si="3"/>
        <v>7.8985426632550895E-3</v>
      </c>
      <c r="R30" s="172" t="e">
        <f>VLOOKUP($B30,#REF!,4,FALSE)</f>
        <v>#REF!</v>
      </c>
      <c r="S30" s="173" t="e">
        <f t="shared" si="4"/>
        <v>#REF!</v>
      </c>
      <c r="T30" s="172" t="e">
        <f t="shared" si="51"/>
        <v>#REF!</v>
      </c>
      <c r="U30" s="173" t="e">
        <f t="shared" si="52"/>
        <v>#REF!</v>
      </c>
      <c r="V30" s="173" t="e">
        <f t="shared" si="53"/>
        <v>#REF!</v>
      </c>
      <c r="W30" s="1"/>
      <c r="X30" s="189">
        <f>VLOOKUP($B30,'Average RAS salary'!$A$5:$D$62,4,FALSE)</f>
        <v>47081.779612903229</v>
      </c>
      <c r="Y30" s="253">
        <v>52113.842548709465</v>
      </c>
      <c r="Z30" s="252" t="s">
        <v>272</v>
      </c>
      <c r="AA30" s="252" t="s">
        <v>272</v>
      </c>
      <c r="AB30" s="173">
        <f t="shared" si="5"/>
        <v>0.89334108932120815</v>
      </c>
      <c r="AC30" s="172" t="e">
        <f>VLOOKUP($B30,#REF!,3,FALSE)</f>
        <v>#REF!</v>
      </c>
      <c r="AD30" s="172" t="e">
        <f>VLOOKUP($B30,#REF!,5,FALSE)</f>
        <v>#REF!</v>
      </c>
      <c r="AE30" s="172" t="e">
        <f>VLOOKUP($B30,#REF!,6,FALSE)</f>
        <v>#REF!</v>
      </c>
      <c r="AF30" s="173" t="e">
        <f t="shared" si="6"/>
        <v>#REF!</v>
      </c>
      <c r="AG30" s="172" t="e">
        <f t="shared" si="54"/>
        <v>#REF!</v>
      </c>
      <c r="AH30" s="173" t="e">
        <f t="shared" si="7"/>
        <v>#REF!</v>
      </c>
      <c r="AI30" s="173" t="e">
        <f t="shared" si="8"/>
        <v>#REF!</v>
      </c>
      <c r="AJ30" s="189">
        <v>41346.126345343939</v>
      </c>
      <c r="AK30" s="189">
        <f>VLOOKUP($B30,'Average RAS salary'!$A$5:$D$62,4,FALSE)</f>
        <v>47081.779612903229</v>
      </c>
      <c r="AL30" s="189">
        <f t="shared" si="55"/>
        <v>5735.6532675592898</v>
      </c>
      <c r="AM30" s="173">
        <f t="shared" si="56"/>
        <v>0.13872286897331537</v>
      </c>
      <c r="AN30" s="189" t="e">
        <f t="shared" si="57"/>
        <v>#REF!</v>
      </c>
      <c r="AO30" s="189" t="e">
        <f t="shared" si="58"/>
        <v>#REF!</v>
      </c>
      <c r="AP30" s="189" t="e">
        <f t="shared" si="59"/>
        <v>#REF!</v>
      </c>
      <c r="AQ30" s="189" t="e">
        <f t="shared" si="135"/>
        <v>#REF!</v>
      </c>
      <c r="AR30" s="189" t="e">
        <f t="shared" si="60"/>
        <v>#REF!</v>
      </c>
      <c r="AS30" s="189" t="e">
        <f t="shared" si="9"/>
        <v>#REF!</v>
      </c>
      <c r="AT30" s="213" t="e">
        <f t="shared" si="61"/>
        <v>#REF!</v>
      </c>
      <c r="AU30" s="173" t="e">
        <f t="shared" si="62"/>
        <v>#REF!</v>
      </c>
      <c r="AV30" s="189"/>
      <c r="AW30" s="189">
        <f>VLOOKUP($B30,'Average RAS salary'!$A$5:$D$62,4,FALSE)</f>
        <v>47081.779612903229</v>
      </c>
      <c r="AX30" s="189" t="e">
        <f t="shared" si="10"/>
        <v>#REF!</v>
      </c>
      <c r="AY30" s="189">
        <v>46367.61261448414</v>
      </c>
      <c r="AZ30" s="189" t="e">
        <f t="shared" si="11"/>
        <v>#REF!</v>
      </c>
      <c r="BA30" s="189" t="e">
        <f t="shared" si="63"/>
        <v>#REF!</v>
      </c>
      <c r="BB30" s="189" t="e">
        <f t="shared" si="64"/>
        <v>#REF!</v>
      </c>
      <c r="BC30" s="189" t="e">
        <f t="shared" si="65"/>
        <v>#REF!</v>
      </c>
      <c r="BD30" s="213">
        <f t="shared" si="66"/>
        <v>-714.16699841908849</v>
      </c>
      <c r="BE30" s="173">
        <f t="shared" si="67"/>
        <v>-1.5168649194886506E-2</v>
      </c>
      <c r="BF30" s="189"/>
      <c r="BG30" s="189">
        <f>VLOOKUP($B30,'Average RAS salary'!$A$5:$D$62,4,FALSE)</f>
        <v>47081.779612903229</v>
      </c>
      <c r="BH30" s="189" t="e">
        <f t="shared" si="68"/>
        <v>#REF!</v>
      </c>
      <c r="BI30" s="189" t="e">
        <f>$BG$65*#REF!</f>
        <v>#REF!</v>
      </c>
      <c r="BJ30" s="189" t="e">
        <f t="shared" si="69"/>
        <v>#REF!</v>
      </c>
      <c r="BK30" s="189" t="e">
        <f t="shared" si="12"/>
        <v>#REF!</v>
      </c>
      <c r="BL30" s="189" t="e">
        <f t="shared" si="13"/>
        <v>#REF!</v>
      </c>
      <c r="BM30" s="189" t="e">
        <f t="shared" si="70"/>
        <v>#REF!</v>
      </c>
      <c r="BN30" s="213" t="e">
        <f t="shared" si="71"/>
        <v>#REF!</v>
      </c>
      <c r="BO30" s="173" t="e">
        <f t="shared" si="72"/>
        <v>#REF!</v>
      </c>
      <c r="BP30" s="189"/>
      <c r="BQ30" s="189">
        <f>VLOOKUP($B30,'Average RAS salary'!$A$5:$D$62,4,FALSE)</f>
        <v>47081.779612903229</v>
      </c>
      <c r="BR30" s="189" t="e">
        <f t="shared" si="73"/>
        <v>#REF!</v>
      </c>
      <c r="BS30" s="189" t="e">
        <f>VLOOKUP($B30,#REF!,19,FALSE)*$BQ$65</f>
        <v>#REF!</v>
      </c>
      <c r="BT30" s="189" t="e">
        <f t="shared" si="74"/>
        <v>#REF!</v>
      </c>
      <c r="BU30" s="189" t="e">
        <f t="shared" si="75"/>
        <v>#REF!</v>
      </c>
      <c r="BV30" s="189" t="e">
        <f t="shared" si="76"/>
        <v>#REF!</v>
      </c>
      <c r="BW30" s="189" t="e">
        <f t="shared" si="77"/>
        <v>#REF!</v>
      </c>
      <c r="BX30" s="213" t="e">
        <f t="shared" si="78"/>
        <v>#REF!</v>
      </c>
      <c r="BY30" s="173" t="e">
        <f t="shared" si="79"/>
        <v>#REF!</v>
      </c>
      <c r="BZ30" s="189"/>
      <c r="CA30" s="189">
        <f>VLOOKUP($B30,'Average RAS salary'!$A$5:$D$62,4,FALSE)</f>
        <v>47081.779612903229</v>
      </c>
      <c r="CB30" s="189" t="e">
        <f t="shared" si="80"/>
        <v>#REF!</v>
      </c>
      <c r="CC30" s="189" t="e">
        <f>IF(VLOOKUP($B30,#REF!,7,FALSE)&gt;VLOOKUP($B30,#REF!,19,FALSE)*$CA$65,VLOOKUP($B30,#REF!,19,FALSE)*$CA$65,VLOOKUP($B30,#REF!,7,FALSE))</f>
        <v>#REF!</v>
      </c>
      <c r="CD30" s="189" t="e">
        <f t="shared" si="81"/>
        <v>#REF!</v>
      </c>
      <c r="CE30" s="189" t="e">
        <f t="shared" si="82"/>
        <v>#REF!</v>
      </c>
      <c r="CF30" s="189" t="e">
        <f t="shared" si="83"/>
        <v>#REF!</v>
      </c>
      <c r="CG30" s="189" t="e">
        <f t="shared" si="84"/>
        <v>#REF!</v>
      </c>
      <c r="CH30" s="213" t="e">
        <f t="shared" si="85"/>
        <v>#REF!</v>
      </c>
      <c r="CI30" s="173" t="e">
        <f t="shared" si="86"/>
        <v>#REF!</v>
      </c>
      <c r="CJ30" s="189"/>
      <c r="CK30" s="189">
        <f>VLOOKUP($B30,'Average RAS salary'!$A$5:$D$62,4,FALSE)</f>
        <v>47081.779612903229</v>
      </c>
      <c r="CL30" s="189" t="e">
        <f t="shared" si="87"/>
        <v>#REF!</v>
      </c>
      <c r="CM30" s="189" t="e">
        <f>IF($AY30&gt;VLOOKUP($B30,#REF!,19,FALSE)*$CK$65,VLOOKUP($B30,#REF!,19,FALSE)*$CK$65,$AY30)</f>
        <v>#REF!</v>
      </c>
      <c r="CN30" s="189" t="e">
        <f t="shared" si="88"/>
        <v>#REF!</v>
      </c>
      <c r="CO30" s="189" t="e">
        <f t="shared" si="89"/>
        <v>#REF!</v>
      </c>
      <c r="CP30" s="189" t="e">
        <f t="shared" si="90"/>
        <v>#REF!</v>
      </c>
      <c r="CQ30" s="189" t="e">
        <f t="shared" si="91"/>
        <v>#REF!</v>
      </c>
      <c r="CR30" s="213" t="e">
        <f t="shared" si="92"/>
        <v>#REF!</v>
      </c>
      <c r="CS30" s="173" t="e">
        <f t="shared" si="93"/>
        <v>#REF!</v>
      </c>
      <c r="CT30" s="1"/>
      <c r="CU30" s="254">
        <v>0.5983392550019575</v>
      </c>
      <c r="CV30" s="252">
        <v>14058.797623215007</v>
      </c>
      <c r="CW30" s="254">
        <v>0.63418700459096156</v>
      </c>
      <c r="CX30" s="255">
        <v>15028.922368421057</v>
      </c>
      <c r="CY30" s="190" t="e">
        <f>VLOOKUP($B30,#REF!,13,FALSE)</f>
        <v>#REF!</v>
      </c>
      <c r="CZ30" s="172" t="e">
        <f>VLOOKUP($B30,#REF!,14,FALSE)</f>
        <v>#REF!</v>
      </c>
      <c r="DA30" s="190" t="e">
        <f>VLOOKUP($B30,#REF!,15,FALSE)</f>
        <v>#REF!</v>
      </c>
      <c r="DB30" s="189" t="e">
        <f>VLOOKUP($B30,#REF!,16,FALSE)</f>
        <v>#REF!</v>
      </c>
      <c r="DC30" s="190" t="e">
        <f t="shared" si="94"/>
        <v>#REF!</v>
      </c>
      <c r="DD30" s="190" t="e">
        <f t="shared" si="95"/>
        <v>#REF!</v>
      </c>
      <c r="DE30" s="190" t="e">
        <f t="shared" si="96"/>
        <v>#REF!</v>
      </c>
      <c r="DF30" s="190" t="e">
        <f t="shared" si="97"/>
        <v>#REF!</v>
      </c>
      <c r="DG30" s="1"/>
      <c r="DH30" s="253" t="s">
        <v>272</v>
      </c>
      <c r="DI30" s="253">
        <v>0</v>
      </c>
      <c r="DJ30" s="173">
        <f t="shared" si="98"/>
        <v>0</v>
      </c>
      <c r="DK30" s="172" t="e">
        <f>IF(VLOOKUP($B30,#REF!,6,FALSE)="Y","Yes","")</f>
        <v>#REF!</v>
      </c>
      <c r="DL30" s="172" t="e">
        <f>VLOOKUP($B30,#REF!,4,FALSE)</f>
        <v>#REF!</v>
      </c>
      <c r="DM30" s="173" t="e">
        <f t="shared" si="15"/>
        <v>#REF!</v>
      </c>
      <c r="DN30" s="1"/>
      <c r="DO30" s="172">
        <f t="shared" si="99"/>
        <v>16566558.463905076</v>
      </c>
      <c r="DP30" s="252">
        <v>15954219.470223648</v>
      </c>
      <c r="DQ30" s="172">
        <f t="shared" si="100"/>
        <v>-612338.99368142709</v>
      </c>
      <c r="DR30" s="173">
        <f t="shared" si="16"/>
        <v>-3.6962353708863582E-2</v>
      </c>
      <c r="DS30" s="172">
        <f t="shared" si="101"/>
        <v>15954219.470223648</v>
      </c>
      <c r="DT30" s="252">
        <v>16247894.156731924</v>
      </c>
      <c r="DU30" s="172">
        <f t="shared" si="102"/>
        <v>293674.68650827557</v>
      </c>
      <c r="DV30" s="173">
        <f t="shared" si="103"/>
        <v>1.7726958024995281E-2</v>
      </c>
      <c r="DW30" s="172">
        <f t="shared" si="104"/>
        <v>16247894.156731924</v>
      </c>
      <c r="DX30" s="252">
        <v>16196098.044370314</v>
      </c>
      <c r="DY30" s="172">
        <f t="shared" si="105"/>
        <v>-51796.112361609936</v>
      </c>
      <c r="DZ30" s="173">
        <f t="shared" si="106"/>
        <v>-3.1265463176593008E-3</v>
      </c>
      <c r="EA30" s="172">
        <f t="shared" si="107"/>
        <v>16196098.044370314</v>
      </c>
      <c r="EB30" s="252">
        <v>16196888.872562038</v>
      </c>
      <c r="EC30" s="172">
        <f t="shared" si="108"/>
        <v>790.82819172367454</v>
      </c>
      <c r="ED30" s="173">
        <f t="shared" si="109"/>
        <v>4.7736419935783099E-5</v>
      </c>
      <c r="EE30" s="172">
        <f t="shared" si="110"/>
        <v>16196888.872562038</v>
      </c>
      <c r="EF30" s="252">
        <v>16289737.429963483</v>
      </c>
      <c r="EG30" s="172">
        <f t="shared" si="111"/>
        <v>92848.557401444763</v>
      </c>
      <c r="EH30" s="173">
        <f t="shared" si="112"/>
        <v>5.6045772936932888E-3</v>
      </c>
      <c r="EI30" s="172">
        <f t="shared" si="113"/>
        <v>16289737.429963483</v>
      </c>
      <c r="EJ30" s="252">
        <v>16566558.463905076</v>
      </c>
      <c r="EK30" s="172">
        <f t="shared" si="114"/>
        <v>276821.03394159302</v>
      </c>
      <c r="EL30" s="173">
        <f t="shared" si="115"/>
        <v>1.6709628287898529E-2</v>
      </c>
      <c r="EM30" s="172">
        <f t="shared" si="116"/>
        <v>0</v>
      </c>
      <c r="EN30" s="173">
        <f t="shared" si="17"/>
        <v>0</v>
      </c>
      <c r="EO30" s="214"/>
      <c r="EP30" s="273">
        <v>7489921.5110809561</v>
      </c>
      <c r="EQ30" s="273">
        <v>7281466.1408861186</v>
      </c>
      <c r="ER30" s="172">
        <f t="shared" si="117"/>
        <v>-208455.37019483745</v>
      </c>
      <c r="ES30" s="173">
        <f t="shared" si="18"/>
        <v>-2.7831449219653154E-2</v>
      </c>
      <c r="ET30" s="273">
        <v>6540684.9285650607</v>
      </c>
      <c r="EU30" s="273">
        <v>6359722.7071686648</v>
      </c>
      <c r="EV30" s="172">
        <f t="shared" si="118"/>
        <v>-180962.22139639594</v>
      </c>
      <c r="EW30" s="173">
        <f t="shared" si="19"/>
        <v>-2.7667166875151198E-2</v>
      </c>
      <c r="EX30" s="273">
        <v>2973640.46</v>
      </c>
      <c r="EY30" s="273">
        <v>2889875.94</v>
      </c>
      <c r="EZ30" s="172">
        <f t="shared" si="119"/>
        <v>-83764.520000000019</v>
      </c>
      <c r="FA30" s="173">
        <f t="shared" si="20"/>
        <v>-2.816901408450705E-2</v>
      </c>
      <c r="FB30" s="172">
        <f t="shared" si="120"/>
        <v>7281466.1408861186</v>
      </c>
      <c r="FC30" s="273">
        <v>7429826.7367735105</v>
      </c>
      <c r="FD30" s="172">
        <f t="shared" si="121"/>
        <v>148360.59588739183</v>
      </c>
      <c r="FE30" s="173">
        <f t="shared" si="21"/>
        <v>2.0375099329835937E-2</v>
      </c>
      <c r="FF30" s="172">
        <f t="shared" si="122"/>
        <v>6359722.7071686648</v>
      </c>
      <c r="FG30" s="273">
        <v>6449473.12900161</v>
      </c>
      <c r="FH30" s="172">
        <f t="shared" si="123"/>
        <v>89750.421832945198</v>
      </c>
      <c r="FI30" s="173">
        <f t="shared" si="22"/>
        <v>1.4112316836043611E-2</v>
      </c>
      <c r="FJ30" s="172">
        <f t="shared" si="124"/>
        <v>7429826.7367735105</v>
      </c>
      <c r="FK30" s="273">
        <v>7485208.2178119207</v>
      </c>
      <c r="FL30" s="172">
        <f t="shared" si="125"/>
        <v>55381.481038410217</v>
      </c>
      <c r="FM30" s="173">
        <f t="shared" si="23"/>
        <v>7.4539397755135637E-3</v>
      </c>
      <c r="FN30" s="172">
        <f t="shared" si="126"/>
        <v>6449473.12900161</v>
      </c>
      <c r="FO30" s="273">
        <v>6482933.7635587044</v>
      </c>
      <c r="FP30" s="172">
        <f t="shared" si="127"/>
        <v>33460.634557094425</v>
      </c>
      <c r="FQ30" s="173">
        <f t="shared" si="24"/>
        <v>5.1881190738869223E-3</v>
      </c>
      <c r="FR30" s="172">
        <f t="shared" si="128"/>
        <v>6482933.7635587044</v>
      </c>
      <c r="FS30" s="273">
        <v>5840102.9297448201</v>
      </c>
      <c r="FT30" s="172">
        <f t="shared" si="129"/>
        <v>-642830.8338138843</v>
      </c>
      <c r="FU30" s="173">
        <f t="shared" si="25"/>
        <v>-9.915739652120284E-2</v>
      </c>
      <c r="FV30" s="172">
        <f t="shared" si="26"/>
        <v>2889875.94</v>
      </c>
      <c r="FW30" s="273">
        <v>3140308.68</v>
      </c>
      <c r="FX30" s="172">
        <f t="shared" si="130"/>
        <v>250432.74000000022</v>
      </c>
      <c r="FY30" s="173">
        <f t="shared" si="27"/>
        <v>8.665864736048158E-2</v>
      </c>
      <c r="FZ30" s="214"/>
      <c r="GA30" s="172">
        <f t="shared" si="28"/>
        <v>7489921.5110809561</v>
      </c>
      <c r="GB30" s="172">
        <f t="shared" si="29"/>
        <v>-208455.37019483745</v>
      </c>
      <c r="GC30" s="172">
        <f t="shared" si="30"/>
        <v>148360.59588739183</v>
      </c>
      <c r="GD30" s="172">
        <f t="shared" si="31"/>
        <v>55381.481038410217</v>
      </c>
      <c r="GE30" s="172">
        <f t="shared" si="32"/>
        <v>-4713.2932690354064</v>
      </c>
      <c r="GF30" s="172">
        <f t="shared" si="33"/>
        <v>7485208.2178119207</v>
      </c>
      <c r="GG30" s="173">
        <f t="shared" si="34"/>
        <v>-6.2928473443444363E-4</v>
      </c>
      <c r="GH30" s="244"/>
      <c r="GI30" s="172">
        <f t="shared" si="35"/>
        <v>6540684.9285650607</v>
      </c>
      <c r="GJ30" s="172">
        <f t="shared" si="36"/>
        <v>-180962.22139639594</v>
      </c>
      <c r="GK30" s="172">
        <f t="shared" si="37"/>
        <v>89750.421832945198</v>
      </c>
      <c r="GL30" s="172">
        <f t="shared" si="38"/>
        <v>33460.634557094425</v>
      </c>
      <c r="GM30" s="172">
        <f t="shared" si="39"/>
        <v>-642830.8338138843</v>
      </c>
      <c r="GN30" s="172">
        <f t="shared" si="40"/>
        <v>-700581.99882024061</v>
      </c>
      <c r="GO30" s="172">
        <f t="shared" si="41"/>
        <v>5840102.9297448201</v>
      </c>
      <c r="GP30" s="173">
        <f t="shared" si="42"/>
        <v>-0.10711141210312648</v>
      </c>
      <c r="GQ30" s="214"/>
      <c r="GR30" s="172">
        <f t="shared" si="43"/>
        <v>2973640.46</v>
      </c>
      <c r="GS30" s="172">
        <f t="shared" si="44"/>
        <v>-83764.520000000019</v>
      </c>
      <c r="GT30" s="172">
        <f t="shared" si="45"/>
        <v>250432.74000000022</v>
      </c>
      <c r="GU30" s="172">
        <f t="shared" si="131"/>
        <v>166668.2200000002</v>
      </c>
      <c r="GV30" s="172">
        <f t="shared" si="132"/>
        <v>3140308.68</v>
      </c>
      <c r="GW30" s="173">
        <f t="shared" si="133"/>
        <v>5.6048544617932794E-2</v>
      </c>
      <c r="GX30" s="214"/>
      <c r="GY30" s="273">
        <v>-437688.43574094196</v>
      </c>
      <c r="GZ30" s="172" t="e">
        <f t="shared" si="134"/>
        <v>#REF!</v>
      </c>
      <c r="HA30" s="172" t="e">
        <f>-VLOOKUP($B30,#REF!,23,FALSE)</f>
        <v>#REF!</v>
      </c>
    </row>
    <row r="31" spans="1:209" ht="15" customHeight="1" x14ac:dyDescent="0.45">
      <c r="A31" s="148">
        <v>1</v>
      </c>
      <c r="B31" s="212" t="s">
        <v>13</v>
      </c>
      <c r="C31" s="172">
        <v>890667.61099476705</v>
      </c>
      <c r="D31" s="173">
        <f t="shared" si="0"/>
        <v>6.1830965086252245E-4</v>
      </c>
      <c r="E31" s="1"/>
      <c r="F31" s="252">
        <v>848626.88016772002</v>
      </c>
      <c r="G31" s="173">
        <f t="shared" si="1"/>
        <v>3.6109930455899112E-4</v>
      </c>
      <c r="H31" s="173">
        <f t="shared" si="46"/>
        <v>0.58401046151433833</v>
      </c>
      <c r="I31" s="172" t="e">
        <f>VLOOKUP($B31,#REF!,24,FALSE)</f>
        <v>#REF!</v>
      </c>
      <c r="J31" s="173" t="e">
        <f t="shared" si="2"/>
        <v>#REF!</v>
      </c>
      <c r="K31" s="173" t="e">
        <f t="shared" si="47"/>
        <v>#REF!</v>
      </c>
      <c r="L31" s="172" t="e">
        <f t="shared" si="48"/>
        <v>#REF!</v>
      </c>
      <c r="M31" s="173" t="e">
        <f t="shared" si="49"/>
        <v>#REF!</v>
      </c>
      <c r="N31" s="173" t="e">
        <f t="shared" si="50"/>
        <v>#REF!</v>
      </c>
      <c r="O31" s="176"/>
      <c r="P31" s="253">
        <v>9</v>
      </c>
      <c r="Q31" s="173">
        <f t="shared" si="3"/>
        <v>5.0061185893870281E-4</v>
      </c>
      <c r="R31" s="172" t="e">
        <f>VLOOKUP($B31,#REF!,4,FALSE)</f>
        <v>#REF!</v>
      </c>
      <c r="S31" s="173" t="e">
        <f t="shared" si="4"/>
        <v>#REF!</v>
      </c>
      <c r="T31" s="172" t="e">
        <f t="shared" si="51"/>
        <v>#REF!</v>
      </c>
      <c r="U31" s="173" t="e">
        <f t="shared" si="52"/>
        <v>#REF!</v>
      </c>
      <c r="V31" s="173" t="e">
        <f t="shared" si="53"/>
        <v>#REF!</v>
      </c>
      <c r="W31" s="1"/>
      <c r="X31" s="189">
        <f>VLOOKUP($B31,'Average RAS salary'!$A$5:$D$62,4,FALSE)</f>
        <v>58354.315714285702</v>
      </c>
      <c r="Y31" s="253">
        <v>33342.492270088645</v>
      </c>
      <c r="Z31" s="252" t="s">
        <v>273</v>
      </c>
      <c r="AA31" s="252" t="s">
        <v>273</v>
      </c>
      <c r="AB31" s="173">
        <f t="shared" si="5"/>
        <v>0.57156058560457412</v>
      </c>
      <c r="AC31" s="172" t="e">
        <f>VLOOKUP($B31,#REF!,3,FALSE)</f>
        <v>#REF!</v>
      </c>
      <c r="AD31" s="172" t="e">
        <f>VLOOKUP($B31,#REF!,5,FALSE)</f>
        <v>#REF!</v>
      </c>
      <c r="AE31" s="172" t="e">
        <f>VLOOKUP($B31,#REF!,6,FALSE)</f>
        <v>#REF!</v>
      </c>
      <c r="AF31" s="173" t="e">
        <f t="shared" si="6"/>
        <v>#REF!</v>
      </c>
      <c r="AG31" s="172" t="e">
        <f t="shared" si="54"/>
        <v>#REF!</v>
      </c>
      <c r="AH31" s="173" t="e">
        <f t="shared" si="7"/>
        <v>#REF!</v>
      </c>
      <c r="AI31" s="173" t="e">
        <f t="shared" si="8"/>
        <v>#REF!</v>
      </c>
      <c r="AJ31" s="189">
        <v>48031.888888888891</v>
      </c>
      <c r="AK31" s="189">
        <f>VLOOKUP($B31,'Average RAS salary'!$A$5:$D$62,4,FALSE)</f>
        <v>58354.315714285702</v>
      </c>
      <c r="AL31" s="189">
        <f t="shared" si="55"/>
        <v>10322.426825396811</v>
      </c>
      <c r="AM31" s="173">
        <f t="shared" si="56"/>
        <v>0.21490778447783832</v>
      </c>
      <c r="AN31" s="189" t="e">
        <f t="shared" si="57"/>
        <v>#REF!</v>
      </c>
      <c r="AO31" s="189" t="e">
        <f t="shared" si="58"/>
        <v>#REF!</v>
      </c>
      <c r="AP31" s="189" t="e">
        <f t="shared" si="59"/>
        <v>#REF!</v>
      </c>
      <c r="AQ31" s="189" t="e">
        <f t="shared" si="135"/>
        <v>#REF!</v>
      </c>
      <c r="AR31" s="189" t="e">
        <f t="shared" si="60"/>
        <v>#REF!</v>
      </c>
      <c r="AS31" s="189" t="e">
        <f t="shared" si="9"/>
        <v>#REF!</v>
      </c>
      <c r="AT31" s="213" t="e">
        <f t="shared" si="61"/>
        <v>#REF!</v>
      </c>
      <c r="AU31" s="173" t="e">
        <f t="shared" si="62"/>
        <v>#REF!</v>
      </c>
      <c r="AV31" s="189"/>
      <c r="AW31" s="189">
        <f>VLOOKUP($B31,'Average RAS salary'!$A$5:$D$62,4,FALSE)</f>
        <v>58354.315714285702</v>
      </c>
      <c r="AX31" s="189" t="e">
        <f t="shared" si="10"/>
        <v>#REF!</v>
      </c>
      <c r="AY31" s="189">
        <v>39865.262959708809</v>
      </c>
      <c r="AZ31" s="189" t="e">
        <f t="shared" si="11"/>
        <v>#REF!</v>
      </c>
      <c r="BA31" s="189" t="e">
        <f t="shared" si="63"/>
        <v>#REF!</v>
      </c>
      <c r="BB31" s="189" t="e">
        <f t="shared" si="64"/>
        <v>#REF!</v>
      </c>
      <c r="BC31" s="189" t="e">
        <f t="shared" si="65"/>
        <v>#REF!</v>
      </c>
      <c r="BD31" s="213">
        <f t="shared" si="66"/>
        <v>-18489.052754576893</v>
      </c>
      <c r="BE31" s="173">
        <f t="shared" si="67"/>
        <v>-0.31684122293718531</v>
      </c>
      <c r="BF31" s="189"/>
      <c r="BG31" s="189">
        <f>VLOOKUP($B31,'Average RAS salary'!$A$5:$D$62,4,FALSE)</f>
        <v>58354.315714285702</v>
      </c>
      <c r="BH31" s="189" t="e">
        <f t="shared" si="68"/>
        <v>#REF!</v>
      </c>
      <c r="BI31" s="189" t="e">
        <f>$BG$65*#REF!</f>
        <v>#REF!</v>
      </c>
      <c r="BJ31" s="189" t="e">
        <f t="shared" si="69"/>
        <v>#REF!</v>
      </c>
      <c r="BK31" s="189" t="e">
        <f t="shared" si="12"/>
        <v>#REF!</v>
      </c>
      <c r="BL31" s="189" t="e">
        <f t="shared" si="13"/>
        <v>#REF!</v>
      </c>
      <c r="BM31" s="189" t="e">
        <f t="shared" si="70"/>
        <v>#REF!</v>
      </c>
      <c r="BN31" s="213" t="e">
        <f t="shared" si="71"/>
        <v>#REF!</v>
      </c>
      <c r="BO31" s="173" t="e">
        <f t="shared" si="72"/>
        <v>#REF!</v>
      </c>
      <c r="BP31" s="189"/>
      <c r="BQ31" s="189">
        <f>VLOOKUP($B31,'Average RAS salary'!$A$5:$D$62,4,FALSE)</f>
        <v>58354.315714285702</v>
      </c>
      <c r="BR31" s="189" t="e">
        <f t="shared" si="73"/>
        <v>#REF!</v>
      </c>
      <c r="BS31" s="189" t="e">
        <f>VLOOKUP($B31,#REF!,19,FALSE)*$BQ$65</f>
        <v>#REF!</v>
      </c>
      <c r="BT31" s="189" t="e">
        <f t="shared" si="74"/>
        <v>#REF!</v>
      </c>
      <c r="BU31" s="189" t="e">
        <f t="shared" si="75"/>
        <v>#REF!</v>
      </c>
      <c r="BV31" s="189" t="e">
        <f t="shared" si="76"/>
        <v>#REF!</v>
      </c>
      <c r="BW31" s="189" t="e">
        <f t="shared" si="77"/>
        <v>#REF!</v>
      </c>
      <c r="BX31" s="213" t="e">
        <f t="shared" si="78"/>
        <v>#REF!</v>
      </c>
      <c r="BY31" s="173" t="e">
        <f t="shared" si="79"/>
        <v>#REF!</v>
      </c>
      <c r="BZ31" s="189"/>
      <c r="CA31" s="189">
        <f>VLOOKUP($B31,'Average RAS salary'!$A$5:$D$62,4,FALSE)</f>
        <v>58354.315714285702</v>
      </c>
      <c r="CB31" s="189" t="e">
        <f t="shared" si="80"/>
        <v>#REF!</v>
      </c>
      <c r="CC31" s="189" t="e">
        <f>IF(VLOOKUP($B31,#REF!,7,FALSE)&gt;VLOOKUP($B31,#REF!,19,FALSE)*$CA$65,VLOOKUP($B31,#REF!,19,FALSE)*$CA$65,VLOOKUP($B31,#REF!,7,FALSE))</f>
        <v>#REF!</v>
      </c>
      <c r="CD31" s="189" t="e">
        <f t="shared" si="81"/>
        <v>#REF!</v>
      </c>
      <c r="CE31" s="189" t="e">
        <f t="shared" si="82"/>
        <v>#REF!</v>
      </c>
      <c r="CF31" s="189" t="e">
        <f t="shared" si="83"/>
        <v>#REF!</v>
      </c>
      <c r="CG31" s="189" t="e">
        <f t="shared" si="84"/>
        <v>#REF!</v>
      </c>
      <c r="CH31" s="213" t="e">
        <f t="shared" si="85"/>
        <v>#REF!</v>
      </c>
      <c r="CI31" s="173" t="e">
        <f t="shared" si="86"/>
        <v>#REF!</v>
      </c>
      <c r="CJ31" s="189"/>
      <c r="CK31" s="189">
        <f>VLOOKUP($B31,'Average RAS salary'!$A$5:$D$62,4,FALSE)</f>
        <v>58354.315714285702</v>
      </c>
      <c r="CL31" s="189" t="e">
        <f t="shared" si="87"/>
        <v>#REF!</v>
      </c>
      <c r="CM31" s="189" t="e">
        <f>IF($AY31&gt;VLOOKUP($B31,#REF!,19,FALSE)*$CK$65,VLOOKUP($B31,#REF!,19,FALSE)*$CK$65,$AY31)</f>
        <v>#REF!</v>
      </c>
      <c r="CN31" s="189" t="e">
        <f t="shared" si="88"/>
        <v>#REF!</v>
      </c>
      <c r="CO31" s="189" t="e">
        <f t="shared" si="89"/>
        <v>#REF!</v>
      </c>
      <c r="CP31" s="189" t="e">
        <f t="shared" si="90"/>
        <v>#REF!</v>
      </c>
      <c r="CQ31" s="189" t="e">
        <f t="shared" si="91"/>
        <v>#REF!</v>
      </c>
      <c r="CR31" s="213" t="e">
        <f t="shared" si="92"/>
        <v>#REF!</v>
      </c>
      <c r="CS31" s="173" t="e">
        <f t="shared" si="93"/>
        <v>#REF!</v>
      </c>
      <c r="CT31" s="1"/>
      <c r="CU31" s="254">
        <v>0.25179999994241886</v>
      </c>
      <c r="CV31" s="252">
        <v>12648.96</v>
      </c>
      <c r="CW31" s="254">
        <v>0.25180000170436145</v>
      </c>
      <c r="CX31" s="255">
        <v>12648.96</v>
      </c>
      <c r="CY31" s="190" t="e">
        <f>VLOOKUP($B31,#REF!,13,FALSE)</f>
        <v>#REF!</v>
      </c>
      <c r="CZ31" s="172" t="e">
        <f>VLOOKUP($B31,#REF!,14,FALSE)</f>
        <v>#REF!</v>
      </c>
      <c r="DA31" s="190" t="e">
        <f>VLOOKUP($B31,#REF!,15,FALSE)</f>
        <v>#REF!</v>
      </c>
      <c r="DB31" s="189" t="e">
        <f>VLOOKUP($B31,#REF!,16,FALSE)</f>
        <v>#REF!</v>
      </c>
      <c r="DC31" s="190" t="e">
        <f t="shared" si="94"/>
        <v>#REF!</v>
      </c>
      <c r="DD31" s="190" t="e">
        <f t="shared" si="95"/>
        <v>#REF!</v>
      </c>
      <c r="DE31" s="190" t="e">
        <f t="shared" si="96"/>
        <v>#REF!</v>
      </c>
      <c r="DF31" s="190" t="e">
        <f t="shared" si="97"/>
        <v>#REF!</v>
      </c>
      <c r="DG31" s="1"/>
      <c r="DH31" s="253" t="s">
        <v>272</v>
      </c>
      <c r="DI31" s="253">
        <v>0</v>
      </c>
      <c r="DJ31" s="173">
        <f t="shared" si="98"/>
        <v>0</v>
      </c>
      <c r="DK31" s="172" t="e">
        <f>IF(VLOOKUP($B31,#REF!,6,FALSE)="Y","Yes","")</f>
        <v>#REF!</v>
      </c>
      <c r="DL31" s="172" t="e">
        <f>VLOOKUP($B31,#REF!,4,FALSE)</f>
        <v>#REF!</v>
      </c>
      <c r="DM31" s="173" t="e">
        <f t="shared" si="15"/>
        <v>#REF!</v>
      </c>
      <c r="DN31" s="1"/>
      <c r="DO31" s="172">
        <f t="shared" si="99"/>
        <v>848626.88016772002</v>
      </c>
      <c r="DP31" s="252">
        <v>821329.75114607741</v>
      </c>
      <c r="DQ31" s="172">
        <f t="shared" si="100"/>
        <v>-27297.129021642613</v>
      </c>
      <c r="DR31" s="173">
        <f t="shared" si="16"/>
        <v>-3.2166231897165089E-2</v>
      </c>
      <c r="DS31" s="172">
        <f t="shared" si="101"/>
        <v>821329.75114607741</v>
      </c>
      <c r="DT31" s="252">
        <v>835526.83890704287</v>
      </c>
      <c r="DU31" s="172">
        <f t="shared" si="102"/>
        <v>14197.087760965456</v>
      </c>
      <c r="DV31" s="173">
        <f t="shared" si="103"/>
        <v>1.6729481581068451E-2</v>
      </c>
      <c r="DW31" s="172">
        <f t="shared" si="104"/>
        <v>835526.83890704287</v>
      </c>
      <c r="DX31" s="252">
        <v>835448.96816010401</v>
      </c>
      <c r="DY31" s="172">
        <f t="shared" si="105"/>
        <v>-77.870746938860975</v>
      </c>
      <c r="DZ31" s="173">
        <f t="shared" si="106"/>
        <v>-9.1760877199023952E-5</v>
      </c>
      <c r="EA31" s="172">
        <f t="shared" si="107"/>
        <v>835448.96816010401</v>
      </c>
      <c r="EB31" s="252">
        <v>834636.0471266493</v>
      </c>
      <c r="EC31" s="172">
        <f t="shared" si="108"/>
        <v>-812.92103345470969</v>
      </c>
      <c r="ED31" s="173">
        <f t="shared" si="109"/>
        <v>-9.5792515232848445E-4</v>
      </c>
      <c r="EE31" s="172">
        <f t="shared" si="110"/>
        <v>834636.0471266493</v>
      </c>
      <c r="EF31" s="252">
        <v>849873.87756772002</v>
      </c>
      <c r="EG31" s="172">
        <f t="shared" si="111"/>
        <v>15237.830441070721</v>
      </c>
      <c r="EH31" s="173">
        <f t="shared" si="112"/>
        <v>1.7955865878369493E-2</v>
      </c>
      <c r="EI31" s="172">
        <f t="shared" si="113"/>
        <v>849873.87756772002</v>
      </c>
      <c r="EJ31" s="252">
        <v>848626.88016772002</v>
      </c>
      <c r="EK31" s="172">
        <f t="shared" si="114"/>
        <v>-1246.9973999999929</v>
      </c>
      <c r="EL31" s="173">
        <f t="shared" si="115"/>
        <v>-1.4694295327453452E-3</v>
      </c>
      <c r="EM31" s="172">
        <f t="shared" si="116"/>
        <v>0</v>
      </c>
      <c r="EN31" s="173">
        <f t="shared" si="17"/>
        <v>0</v>
      </c>
      <c r="EO31" s="214"/>
      <c r="EP31" s="273">
        <v>432635.38695753546</v>
      </c>
      <c r="EQ31" s="273">
        <v>432635.38695753546</v>
      </c>
      <c r="ER31" s="172">
        <f t="shared" si="117"/>
        <v>0</v>
      </c>
      <c r="ES31" s="173">
        <f t="shared" si="18"/>
        <v>0</v>
      </c>
      <c r="ET31" s="273">
        <v>222778.23061018452</v>
      </c>
      <c r="EU31" s="273">
        <v>222778.23061018452</v>
      </c>
      <c r="EV31" s="172">
        <f t="shared" si="118"/>
        <v>0</v>
      </c>
      <c r="EW31" s="173">
        <f t="shared" si="19"/>
        <v>0</v>
      </c>
      <c r="EX31" s="273">
        <v>266590.26</v>
      </c>
      <c r="EY31" s="273">
        <v>266590.26</v>
      </c>
      <c r="EZ31" s="172">
        <f t="shared" si="119"/>
        <v>0</v>
      </c>
      <c r="FA31" s="173">
        <f t="shared" si="20"/>
        <v>0</v>
      </c>
      <c r="FB31" s="172">
        <f t="shared" si="120"/>
        <v>432635.38695753546</v>
      </c>
      <c r="FC31" s="273">
        <v>437702.81036158418</v>
      </c>
      <c r="FD31" s="172">
        <f t="shared" si="121"/>
        <v>5067.4234040487208</v>
      </c>
      <c r="FE31" s="173">
        <f t="shared" si="21"/>
        <v>1.1712919370014696E-2</v>
      </c>
      <c r="FF31" s="172">
        <f t="shared" si="122"/>
        <v>222778.23061018452</v>
      </c>
      <c r="FG31" s="273">
        <v>224054.20782078538</v>
      </c>
      <c r="FH31" s="172">
        <f t="shared" si="123"/>
        <v>1275.9772106008604</v>
      </c>
      <c r="FI31" s="173">
        <f t="shared" si="22"/>
        <v>5.7275668592303109E-3</v>
      </c>
      <c r="FJ31" s="172">
        <f t="shared" si="124"/>
        <v>437702.81036158418</v>
      </c>
      <c r="FK31" s="273">
        <v>531043.1779574313</v>
      </c>
      <c r="FL31" s="172">
        <f t="shared" si="125"/>
        <v>93340.367595847114</v>
      </c>
      <c r="FM31" s="173">
        <f t="shared" si="23"/>
        <v>0.21325055582517072</v>
      </c>
      <c r="FN31" s="172">
        <f t="shared" si="126"/>
        <v>224054.20782078538</v>
      </c>
      <c r="FO31" s="273">
        <v>247557.3124543771</v>
      </c>
      <c r="FP31" s="172">
        <f t="shared" si="127"/>
        <v>23503.10463359172</v>
      </c>
      <c r="FQ31" s="173">
        <f t="shared" si="24"/>
        <v>0.10489918873735765</v>
      </c>
      <c r="FR31" s="172">
        <f t="shared" si="128"/>
        <v>247557.3124543771</v>
      </c>
      <c r="FS31" s="273">
        <v>254887.51658068152</v>
      </c>
      <c r="FT31" s="172">
        <f t="shared" si="129"/>
        <v>7330.204126304423</v>
      </c>
      <c r="FU31" s="173">
        <f t="shared" si="25"/>
        <v>2.9610129685243385E-2</v>
      </c>
      <c r="FV31" s="172">
        <f t="shared" si="26"/>
        <v>266590.26</v>
      </c>
      <c r="FW31" s="273">
        <v>293596.2</v>
      </c>
      <c r="FX31" s="172">
        <f t="shared" si="130"/>
        <v>27005.940000000002</v>
      </c>
      <c r="FY31" s="173">
        <f t="shared" si="27"/>
        <v>0.10130130035508425</v>
      </c>
      <c r="FZ31" s="214"/>
      <c r="GA31" s="172">
        <f t="shared" si="28"/>
        <v>432635.38695753546</v>
      </c>
      <c r="GB31" s="172">
        <f t="shared" si="29"/>
        <v>0</v>
      </c>
      <c r="GC31" s="172">
        <f t="shared" si="30"/>
        <v>5067.4234040487208</v>
      </c>
      <c r="GD31" s="172">
        <f t="shared" si="31"/>
        <v>93340.367595847114</v>
      </c>
      <c r="GE31" s="172">
        <f t="shared" si="32"/>
        <v>98407.790999895835</v>
      </c>
      <c r="GF31" s="172">
        <f t="shared" si="33"/>
        <v>531043.1779574313</v>
      </c>
      <c r="GG31" s="173">
        <f t="shared" si="34"/>
        <v>0.22746126176117645</v>
      </c>
      <c r="GH31" s="244"/>
      <c r="GI31" s="172">
        <f t="shared" si="35"/>
        <v>222778.23061018452</v>
      </c>
      <c r="GJ31" s="172">
        <f t="shared" si="36"/>
        <v>0</v>
      </c>
      <c r="GK31" s="172">
        <f t="shared" si="37"/>
        <v>1275.9772106008604</v>
      </c>
      <c r="GL31" s="172">
        <f t="shared" si="38"/>
        <v>23503.10463359172</v>
      </c>
      <c r="GM31" s="172">
        <f t="shared" si="39"/>
        <v>7330.204126304423</v>
      </c>
      <c r="GN31" s="172">
        <f t="shared" si="40"/>
        <v>32109.285970497003</v>
      </c>
      <c r="GO31" s="172">
        <f t="shared" si="41"/>
        <v>254887.51658068152</v>
      </c>
      <c r="GP31" s="173">
        <f t="shared" si="42"/>
        <v>0.14413116525142694</v>
      </c>
      <c r="GQ31" s="214"/>
      <c r="GR31" s="172">
        <f t="shared" si="43"/>
        <v>266590.26</v>
      </c>
      <c r="GS31" s="172">
        <f t="shared" si="44"/>
        <v>0</v>
      </c>
      <c r="GT31" s="172">
        <f t="shared" si="45"/>
        <v>27005.940000000002</v>
      </c>
      <c r="GU31" s="172">
        <f t="shared" si="131"/>
        <v>27005.940000000002</v>
      </c>
      <c r="GV31" s="172">
        <f t="shared" si="132"/>
        <v>293596.2</v>
      </c>
      <c r="GW31" s="173">
        <f t="shared" si="133"/>
        <v>0.10130130035508425</v>
      </c>
      <c r="GX31" s="214"/>
      <c r="GY31" s="273">
        <v>-73376.997399999993</v>
      </c>
      <c r="GZ31" s="172" t="e">
        <f t="shared" si="134"/>
        <v>#REF!</v>
      </c>
      <c r="HA31" s="172" t="e">
        <f>-VLOOKUP($B31,#REF!,23,FALSE)</f>
        <v>#REF!</v>
      </c>
    </row>
    <row r="32" spans="1:209" ht="15" customHeight="1" x14ac:dyDescent="0.45">
      <c r="A32" s="148">
        <v>1</v>
      </c>
      <c r="B32" s="215" t="s">
        <v>14</v>
      </c>
      <c r="C32" s="172">
        <v>1232348.1896589471</v>
      </c>
      <c r="D32" s="173">
        <f t="shared" si="0"/>
        <v>8.5550745248056629E-4</v>
      </c>
      <c r="E32" s="1"/>
      <c r="F32" s="252">
        <v>1853032.8748876948</v>
      </c>
      <c r="G32" s="173">
        <f t="shared" si="1"/>
        <v>7.884841949793649E-4</v>
      </c>
      <c r="H32" s="173">
        <f t="shared" si="46"/>
        <v>0.9216567227943302</v>
      </c>
      <c r="I32" s="172" t="e">
        <f>VLOOKUP($B32,#REF!,24,FALSE)</f>
        <v>#REF!</v>
      </c>
      <c r="J32" s="173" t="e">
        <f t="shared" si="2"/>
        <v>#REF!</v>
      </c>
      <c r="K32" s="173" t="e">
        <f t="shared" si="47"/>
        <v>#REF!</v>
      </c>
      <c r="L32" s="172" t="e">
        <f t="shared" si="48"/>
        <v>#REF!</v>
      </c>
      <c r="M32" s="173" t="e">
        <f t="shared" si="49"/>
        <v>#REF!</v>
      </c>
      <c r="N32" s="173" t="e">
        <f t="shared" si="50"/>
        <v>#REF!</v>
      </c>
      <c r="O32" s="176"/>
      <c r="P32" s="253">
        <v>13</v>
      </c>
      <c r="Q32" s="173">
        <f t="shared" si="3"/>
        <v>7.2310601846701519E-4</v>
      </c>
      <c r="R32" s="172" t="e">
        <f>VLOOKUP($B32,#REF!,4,FALSE)</f>
        <v>#REF!</v>
      </c>
      <c r="S32" s="173" t="e">
        <f t="shared" si="4"/>
        <v>#REF!</v>
      </c>
      <c r="T32" s="172" t="e">
        <f t="shared" si="51"/>
        <v>#REF!</v>
      </c>
      <c r="U32" s="173" t="e">
        <f t="shared" si="52"/>
        <v>#REF!</v>
      </c>
      <c r="V32" s="173" t="e">
        <f t="shared" si="53"/>
        <v>#REF!</v>
      </c>
      <c r="W32" s="1"/>
      <c r="X32" s="189">
        <f>VLOOKUP($B32,'Average RAS salary'!$A$5:$D$62,4,FALSE)</f>
        <v>58272.358974358976</v>
      </c>
      <c r="Y32" s="253">
        <v>63880.902818545626</v>
      </c>
      <c r="Z32" s="252" t="s">
        <v>273</v>
      </c>
      <c r="AA32" s="252" t="s">
        <v>272</v>
      </c>
      <c r="AB32" s="173">
        <f t="shared" si="5"/>
        <v>1.0950533009996783</v>
      </c>
      <c r="AC32" s="172" t="e">
        <f>VLOOKUP($B32,#REF!,3,FALSE)</f>
        <v>#REF!</v>
      </c>
      <c r="AD32" s="172" t="e">
        <f>VLOOKUP($B32,#REF!,5,FALSE)</f>
        <v>#REF!</v>
      </c>
      <c r="AE32" s="172" t="e">
        <f>VLOOKUP($B32,#REF!,6,FALSE)</f>
        <v>#REF!</v>
      </c>
      <c r="AF32" s="173" t="e">
        <f t="shared" si="6"/>
        <v>#REF!</v>
      </c>
      <c r="AG32" s="172" t="e">
        <f t="shared" si="54"/>
        <v>#REF!</v>
      </c>
      <c r="AH32" s="173" t="e">
        <f t="shared" si="7"/>
        <v>#REF!</v>
      </c>
      <c r="AI32" s="173" t="e">
        <f t="shared" si="8"/>
        <v>#REF!</v>
      </c>
      <c r="AJ32" s="189">
        <v>51281.445050662507</v>
      </c>
      <c r="AK32" s="189">
        <f>VLOOKUP($B32,'Average RAS salary'!$A$5:$D$62,4,FALSE)</f>
        <v>58272.358974358976</v>
      </c>
      <c r="AL32" s="189">
        <f t="shared" si="55"/>
        <v>6990.9139236964693</v>
      </c>
      <c r="AM32" s="173">
        <f t="shared" si="56"/>
        <v>0.13632443307301367</v>
      </c>
      <c r="AN32" s="189" t="e">
        <f t="shared" si="57"/>
        <v>#REF!</v>
      </c>
      <c r="AO32" s="189" t="e">
        <f t="shared" si="58"/>
        <v>#REF!</v>
      </c>
      <c r="AP32" s="189" t="e">
        <f t="shared" si="59"/>
        <v>#REF!</v>
      </c>
      <c r="AQ32" s="189" t="e">
        <f t="shared" si="135"/>
        <v>#REF!</v>
      </c>
      <c r="AR32" s="189" t="e">
        <f t="shared" si="60"/>
        <v>#REF!</v>
      </c>
      <c r="AS32" s="189" t="e">
        <f t="shared" si="9"/>
        <v>#REF!</v>
      </c>
      <c r="AT32" s="213" t="e">
        <f t="shared" si="61"/>
        <v>#REF!</v>
      </c>
      <c r="AU32" s="173" t="e">
        <f t="shared" si="62"/>
        <v>#REF!</v>
      </c>
      <c r="AV32" s="189"/>
      <c r="AW32" s="189">
        <f>VLOOKUP($B32,'Average RAS salary'!$A$5:$D$62,4,FALSE)</f>
        <v>58272.358974358976</v>
      </c>
      <c r="AX32" s="189" t="e">
        <f t="shared" si="10"/>
        <v>#REF!</v>
      </c>
      <c r="AY32" s="189">
        <v>59385.442704901645</v>
      </c>
      <c r="AZ32" s="189" t="e">
        <f t="shared" si="11"/>
        <v>#REF!</v>
      </c>
      <c r="BA32" s="189" t="e">
        <f t="shared" si="63"/>
        <v>#REF!</v>
      </c>
      <c r="BB32" s="189" t="e">
        <f t="shared" si="64"/>
        <v>#REF!</v>
      </c>
      <c r="BC32" s="189" t="e">
        <f t="shared" si="65"/>
        <v>#REF!</v>
      </c>
      <c r="BD32" s="213">
        <f t="shared" si="66"/>
        <v>1113.0837305426685</v>
      </c>
      <c r="BE32" s="173">
        <f t="shared" si="67"/>
        <v>1.910140159303398E-2</v>
      </c>
      <c r="BF32" s="189"/>
      <c r="BG32" s="189">
        <f>VLOOKUP($B32,'Average RAS salary'!$A$5:$D$62,4,FALSE)</f>
        <v>58272.358974358976</v>
      </c>
      <c r="BH32" s="189" t="e">
        <f t="shared" si="68"/>
        <v>#REF!</v>
      </c>
      <c r="BI32" s="189" t="e">
        <f>$BG$65*#REF!</f>
        <v>#REF!</v>
      </c>
      <c r="BJ32" s="189" t="e">
        <f t="shared" si="69"/>
        <v>#REF!</v>
      </c>
      <c r="BK32" s="189" t="e">
        <f t="shared" si="12"/>
        <v>#REF!</v>
      </c>
      <c r="BL32" s="189" t="e">
        <f t="shared" si="13"/>
        <v>#REF!</v>
      </c>
      <c r="BM32" s="189" t="e">
        <f t="shared" si="70"/>
        <v>#REF!</v>
      </c>
      <c r="BN32" s="213" t="e">
        <f t="shared" si="71"/>
        <v>#REF!</v>
      </c>
      <c r="BO32" s="173" t="e">
        <f t="shared" si="72"/>
        <v>#REF!</v>
      </c>
      <c r="BP32" s="189"/>
      <c r="BQ32" s="189">
        <f>VLOOKUP($B32,'Average RAS salary'!$A$5:$D$62,4,FALSE)</f>
        <v>58272.358974358976</v>
      </c>
      <c r="BR32" s="189" t="e">
        <f t="shared" si="73"/>
        <v>#REF!</v>
      </c>
      <c r="BS32" s="189" t="e">
        <f>VLOOKUP($B32,#REF!,19,FALSE)*$BQ$65</f>
        <v>#REF!</v>
      </c>
      <c r="BT32" s="189" t="e">
        <f t="shared" si="74"/>
        <v>#REF!</v>
      </c>
      <c r="BU32" s="189" t="e">
        <f t="shared" si="75"/>
        <v>#REF!</v>
      </c>
      <c r="BV32" s="189" t="e">
        <f t="shared" si="76"/>
        <v>#REF!</v>
      </c>
      <c r="BW32" s="189" t="e">
        <f t="shared" si="77"/>
        <v>#REF!</v>
      </c>
      <c r="BX32" s="213" t="e">
        <f t="shared" si="78"/>
        <v>#REF!</v>
      </c>
      <c r="BY32" s="173" t="e">
        <f t="shared" si="79"/>
        <v>#REF!</v>
      </c>
      <c r="BZ32" s="189"/>
      <c r="CA32" s="189">
        <f>VLOOKUP($B32,'Average RAS salary'!$A$5:$D$62,4,FALSE)</f>
        <v>58272.358974358976</v>
      </c>
      <c r="CB32" s="189" t="e">
        <f t="shared" si="80"/>
        <v>#REF!</v>
      </c>
      <c r="CC32" s="189" t="e">
        <f>IF(VLOOKUP($B32,#REF!,7,FALSE)&gt;VLOOKUP($B32,#REF!,19,FALSE)*$CA$65,VLOOKUP($B32,#REF!,19,FALSE)*$CA$65,VLOOKUP($B32,#REF!,7,FALSE))</f>
        <v>#REF!</v>
      </c>
      <c r="CD32" s="189" t="e">
        <f t="shared" si="81"/>
        <v>#REF!</v>
      </c>
      <c r="CE32" s="189" t="e">
        <f t="shared" si="82"/>
        <v>#REF!</v>
      </c>
      <c r="CF32" s="189" t="e">
        <f t="shared" si="83"/>
        <v>#REF!</v>
      </c>
      <c r="CG32" s="189" t="e">
        <f t="shared" si="84"/>
        <v>#REF!</v>
      </c>
      <c r="CH32" s="213" t="e">
        <f t="shared" si="85"/>
        <v>#REF!</v>
      </c>
      <c r="CI32" s="173" t="e">
        <f t="shared" si="86"/>
        <v>#REF!</v>
      </c>
      <c r="CJ32" s="189"/>
      <c r="CK32" s="189">
        <f>VLOOKUP($B32,'Average RAS salary'!$A$5:$D$62,4,FALSE)</f>
        <v>58272.358974358976</v>
      </c>
      <c r="CL32" s="189" t="e">
        <f t="shared" si="87"/>
        <v>#REF!</v>
      </c>
      <c r="CM32" s="189" t="e">
        <f>IF($AY32&gt;VLOOKUP($B32,#REF!,19,FALSE)*$CK$65,VLOOKUP($B32,#REF!,19,FALSE)*$CK$65,$AY32)</f>
        <v>#REF!</v>
      </c>
      <c r="CN32" s="189" t="e">
        <f t="shared" si="88"/>
        <v>#REF!</v>
      </c>
      <c r="CO32" s="189" t="e">
        <f t="shared" si="89"/>
        <v>#REF!</v>
      </c>
      <c r="CP32" s="189" t="e">
        <f t="shared" si="90"/>
        <v>#REF!</v>
      </c>
      <c r="CQ32" s="189" t="e">
        <f t="shared" si="91"/>
        <v>#REF!</v>
      </c>
      <c r="CR32" s="213" t="e">
        <f t="shared" si="92"/>
        <v>#REF!</v>
      </c>
      <c r="CS32" s="173" t="e">
        <f t="shared" si="93"/>
        <v>#REF!</v>
      </c>
      <c r="CT32" s="1"/>
      <c r="CU32" s="254">
        <v>0.37492000032046663</v>
      </c>
      <c r="CV32" s="252">
        <v>24532.457600000002</v>
      </c>
      <c r="CW32" s="254">
        <v>0.37491999982690505</v>
      </c>
      <c r="CX32" s="255">
        <v>23785.451428571429</v>
      </c>
      <c r="CY32" s="190" t="e">
        <f>VLOOKUP($B32,#REF!,13,FALSE)</f>
        <v>#REF!</v>
      </c>
      <c r="CZ32" s="172" t="e">
        <f>VLOOKUP($B32,#REF!,14,FALSE)</f>
        <v>#REF!</v>
      </c>
      <c r="DA32" s="190" t="e">
        <f>VLOOKUP($B32,#REF!,15,FALSE)</f>
        <v>#REF!</v>
      </c>
      <c r="DB32" s="189" t="e">
        <f>VLOOKUP($B32,#REF!,16,FALSE)</f>
        <v>#REF!</v>
      </c>
      <c r="DC32" s="190" t="e">
        <f t="shared" si="94"/>
        <v>#REF!</v>
      </c>
      <c r="DD32" s="190" t="e">
        <f t="shared" si="95"/>
        <v>#REF!</v>
      </c>
      <c r="DE32" s="190" t="e">
        <f t="shared" si="96"/>
        <v>#REF!</v>
      </c>
      <c r="DF32" s="190" t="e">
        <f t="shared" si="97"/>
        <v>#REF!</v>
      </c>
      <c r="DG32" s="1"/>
      <c r="DH32" s="253" t="s">
        <v>273</v>
      </c>
      <c r="DI32" s="253">
        <v>126524.40055231308</v>
      </c>
      <c r="DJ32" s="173">
        <f t="shared" si="98"/>
        <v>0.2502549868558509</v>
      </c>
      <c r="DK32" s="172" t="e">
        <f>IF(VLOOKUP($B32,#REF!,6,FALSE)="Y","Yes","")</f>
        <v>#REF!</v>
      </c>
      <c r="DL32" s="172" t="e">
        <f>VLOOKUP($B32,#REF!,4,FALSE)</f>
        <v>#REF!</v>
      </c>
      <c r="DM32" s="173" t="e">
        <f t="shared" si="15"/>
        <v>#REF!</v>
      </c>
      <c r="DN32" s="1"/>
      <c r="DO32" s="172">
        <f t="shared" si="99"/>
        <v>1853032.8748876948</v>
      </c>
      <c r="DP32" s="252">
        <v>1795595.8272271252</v>
      </c>
      <c r="DQ32" s="172">
        <f t="shared" si="100"/>
        <v>-57437.04766056966</v>
      </c>
      <c r="DR32" s="173">
        <f t="shared" si="16"/>
        <v>-3.0996237810433178E-2</v>
      </c>
      <c r="DS32" s="172">
        <f t="shared" si="101"/>
        <v>1795595.8272271252</v>
      </c>
      <c r="DT32" s="252">
        <v>1828629.7992476728</v>
      </c>
      <c r="DU32" s="172">
        <f t="shared" si="102"/>
        <v>33033.972020547604</v>
      </c>
      <c r="DV32" s="173">
        <f t="shared" si="103"/>
        <v>1.782697569386062E-2</v>
      </c>
      <c r="DW32" s="172">
        <f t="shared" si="104"/>
        <v>1828629.7992476728</v>
      </c>
      <c r="DX32" s="252">
        <v>1768963.5765467677</v>
      </c>
      <c r="DY32" s="172">
        <f t="shared" si="105"/>
        <v>-59666.222700905055</v>
      </c>
      <c r="DZ32" s="173">
        <f t="shared" si="106"/>
        <v>-3.2199225124120476E-2</v>
      </c>
      <c r="EA32" s="172">
        <f t="shared" si="107"/>
        <v>1768963.5765467677</v>
      </c>
      <c r="EB32" s="252">
        <v>1846382.5226634969</v>
      </c>
      <c r="EC32" s="172">
        <f t="shared" si="108"/>
        <v>77418.946116729174</v>
      </c>
      <c r="ED32" s="173">
        <f t="shared" si="109"/>
        <v>4.1779585870229764E-2</v>
      </c>
      <c r="EE32" s="172">
        <f t="shared" si="110"/>
        <v>1846382.5226634969</v>
      </c>
      <c r="EF32" s="252">
        <v>1868392.7221894879</v>
      </c>
      <c r="EG32" s="172">
        <f t="shared" si="111"/>
        <v>22010.199525990989</v>
      </c>
      <c r="EH32" s="173">
        <f t="shared" si="112"/>
        <v>1.1877932563568222E-2</v>
      </c>
      <c r="EI32" s="172">
        <f t="shared" si="113"/>
        <v>1868392.7221894879</v>
      </c>
      <c r="EJ32" s="252">
        <v>1853032.8748876948</v>
      </c>
      <c r="EK32" s="172">
        <f t="shared" si="114"/>
        <v>-15359.847301793052</v>
      </c>
      <c r="EL32" s="173">
        <f t="shared" si="115"/>
        <v>-8.2890311931049544E-3</v>
      </c>
      <c r="EM32" s="172">
        <f t="shared" si="116"/>
        <v>0</v>
      </c>
      <c r="EN32" s="173">
        <f t="shared" si="17"/>
        <v>0</v>
      </c>
      <c r="EO32" s="214"/>
      <c r="EP32" s="273">
        <v>895694.25187005172</v>
      </c>
      <c r="EQ32" s="273">
        <v>895694.25187005172</v>
      </c>
      <c r="ER32" s="172">
        <f t="shared" si="117"/>
        <v>0</v>
      </c>
      <c r="ES32" s="173">
        <f t="shared" si="18"/>
        <v>0</v>
      </c>
      <c r="ET32" s="273">
        <v>652494.61935708555</v>
      </c>
      <c r="EU32" s="273">
        <v>652494.61935708555</v>
      </c>
      <c r="EV32" s="172">
        <f t="shared" si="118"/>
        <v>0</v>
      </c>
      <c r="EW32" s="173">
        <f t="shared" si="19"/>
        <v>0</v>
      </c>
      <c r="EX32" s="273">
        <v>385074.82</v>
      </c>
      <c r="EY32" s="273">
        <v>385074.82</v>
      </c>
      <c r="EZ32" s="172">
        <f t="shared" si="119"/>
        <v>0</v>
      </c>
      <c r="FA32" s="173">
        <f t="shared" si="20"/>
        <v>0</v>
      </c>
      <c r="FB32" s="172">
        <f t="shared" si="120"/>
        <v>895694.25187005172</v>
      </c>
      <c r="FC32" s="273">
        <v>906728.82952212181</v>
      </c>
      <c r="FD32" s="172">
        <f t="shared" si="121"/>
        <v>11034.577652070089</v>
      </c>
      <c r="FE32" s="173">
        <f t="shared" si="21"/>
        <v>1.2319580737547256E-2</v>
      </c>
      <c r="FF32" s="172">
        <f t="shared" si="122"/>
        <v>652494.61935708555</v>
      </c>
      <c r="FG32" s="273">
        <v>656631.7032147469</v>
      </c>
      <c r="FH32" s="172">
        <f t="shared" si="123"/>
        <v>4137.083857661346</v>
      </c>
      <c r="FI32" s="173">
        <f t="shared" si="22"/>
        <v>6.3404106868156056E-3</v>
      </c>
      <c r="FJ32" s="172">
        <f t="shared" si="124"/>
        <v>906728.82952212181</v>
      </c>
      <c r="FK32" s="273">
        <v>833061.08685722365</v>
      </c>
      <c r="FL32" s="172">
        <f t="shared" si="125"/>
        <v>-73667.742664898164</v>
      </c>
      <c r="FM32" s="173">
        <f t="shared" si="23"/>
        <v>-8.1245616403002943E-2</v>
      </c>
      <c r="FN32" s="172">
        <f t="shared" si="126"/>
        <v>656631.7032147469</v>
      </c>
      <c r="FO32" s="273">
        <v>629012.19312145037</v>
      </c>
      <c r="FP32" s="172">
        <f t="shared" si="127"/>
        <v>-27619.510093296529</v>
      </c>
      <c r="FQ32" s="173">
        <f t="shared" si="24"/>
        <v>-4.2062407218653217E-2</v>
      </c>
      <c r="FR32" s="172">
        <f t="shared" si="128"/>
        <v>629012.19312145037</v>
      </c>
      <c r="FS32" s="273">
        <v>645947.57832744857</v>
      </c>
      <c r="FT32" s="172">
        <f t="shared" si="129"/>
        <v>16935.385205998202</v>
      </c>
      <c r="FU32" s="173">
        <f t="shared" si="25"/>
        <v>2.6923778888858992E-2</v>
      </c>
      <c r="FV32" s="172">
        <f t="shared" si="26"/>
        <v>385074.82</v>
      </c>
      <c r="FW32" s="273">
        <v>424083.39999999997</v>
      </c>
      <c r="FX32" s="172">
        <f t="shared" si="130"/>
        <v>39008.579999999958</v>
      </c>
      <c r="FY32" s="173">
        <f t="shared" si="27"/>
        <v>0.10130130035508413</v>
      </c>
      <c r="FZ32" s="214"/>
      <c r="GA32" s="172">
        <f t="shared" si="28"/>
        <v>895694.25187005172</v>
      </c>
      <c r="GB32" s="172">
        <f t="shared" si="29"/>
        <v>0</v>
      </c>
      <c r="GC32" s="172">
        <f t="shared" si="30"/>
        <v>11034.577652070089</v>
      </c>
      <c r="GD32" s="172">
        <f t="shared" si="31"/>
        <v>-73667.742664898164</v>
      </c>
      <c r="GE32" s="172">
        <f t="shared" si="32"/>
        <v>-62633.165012828074</v>
      </c>
      <c r="GF32" s="172">
        <f t="shared" si="33"/>
        <v>833061.08685722365</v>
      </c>
      <c r="GG32" s="173">
        <f t="shared" si="34"/>
        <v>-6.9926947596304287E-2</v>
      </c>
      <c r="GH32" s="244"/>
      <c r="GI32" s="172">
        <f t="shared" si="35"/>
        <v>652494.61935708555</v>
      </c>
      <c r="GJ32" s="172">
        <f t="shared" si="36"/>
        <v>0</v>
      </c>
      <c r="GK32" s="172">
        <f t="shared" si="37"/>
        <v>4137.083857661346</v>
      </c>
      <c r="GL32" s="172">
        <f t="shared" si="38"/>
        <v>-27619.510093296529</v>
      </c>
      <c r="GM32" s="172">
        <f t="shared" si="39"/>
        <v>16935.385205998202</v>
      </c>
      <c r="GN32" s="172">
        <f t="shared" si="40"/>
        <v>-6547.041029636981</v>
      </c>
      <c r="GO32" s="172">
        <f t="shared" si="41"/>
        <v>645947.57832744857</v>
      </c>
      <c r="GP32" s="173">
        <f t="shared" si="42"/>
        <v>-1.0033862096959353E-2</v>
      </c>
      <c r="GQ32" s="214"/>
      <c r="GR32" s="172">
        <f t="shared" si="43"/>
        <v>385074.82</v>
      </c>
      <c r="GS32" s="172">
        <f t="shared" si="44"/>
        <v>0</v>
      </c>
      <c r="GT32" s="172">
        <f t="shared" si="45"/>
        <v>39008.579999999958</v>
      </c>
      <c r="GU32" s="172">
        <f t="shared" si="131"/>
        <v>39008.579999999958</v>
      </c>
      <c r="GV32" s="172">
        <f t="shared" si="132"/>
        <v>424083.39999999997</v>
      </c>
      <c r="GW32" s="173">
        <f t="shared" si="133"/>
        <v>0.10130130035508413</v>
      </c>
      <c r="GX32" s="214"/>
      <c r="GY32" s="273">
        <v>-80230.816339442565</v>
      </c>
      <c r="GZ32" s="172" t="e">
        <f t="shared" si="134"/>
        <v>#REF!</v>
      </c>
      <c r="HA32" s="172" t="e">
        <f>-VLOOKUP($B32,#REF!,23,FALSE)</f>
        <v>#REF!</v>
      </c>
    </row>
    <row r="33" spans="1:209" ht="15" customHeight="1" x14ac:dyDescent="0.45">
      <c r="A33" s="148">
        <v>3</v>
      </c>
      <c r="B33" s="215" t="s">
        <v>44</v>
      </c>
      <c r="C33" s="172">
        <v>13009124.302661065</v>
      </c>
      <c r="D33" s="173">
        <f t="shared" si="0"/>
        <v>9.0310537919097832E-3</v>
      </c>
      <c r="E33" s="1"/>
      <c r="F33" s="252">
        <v>22649369.676905781</v>
      </c>
      <c r="G33" s="173">
        <f t="shared" si="1"/>
        <v>9.6375354471611493E-3</v>
      </c>
      <c r="H33" s="173">
        <f t="shared" si="46"/>
        <v>1.0671551370665808</v>
      </c>
      <c r="I33" s="172" t="e">
        <f>VLOOKUP($B33,#REF!,24,FALSE)</f>
        <v>#REF!</v>
      </c>
      <c r="J33" s="173" t="e">
        <f t="shared" si="2"/>
        <v>#REF!</v>
      </c>
      <c r="K33" s="173" t="e">
        <f t="shared" si="47"/>
        <v>#REF!</v>
      </c>
      <c r="L33" s="172" t="e">
        <f t="shared" si="48"/>
        <v>#REF!</v>
      </c>
      <c r="M33" s="173" t="e">
        <f t="shared" si="49"/>
        <v>#REF!</v>
      </c>
      <c r="N33" s="173" t="e">
        <f t="shared" si="50"/>
        <v>#REF!</v>
      </c>
      <c r="O33" s="176"/>
      <c r="P33" s="253">
        <v>191</v>
      </c>
      <c r="Q33" s="173">
        <f t="shared" si="3"/>
        <v>1.0624096117476917E-2</v>
      </c>
      <c r="R33" s="172" t="e">
        <f>VLOOKUP($B33,#REF!,4,FALSE)</f>
        <v>#REF!</v>
      </c>
      <c r="S33" s="173" t="e">
        <f t="shared" si="4"/>
        <v>#REF!</v>
      </c>
      <c r="T33" s="172" t="e">
        <f t="shared" si="51"/>
        <v>#REF!</v>
      </c>
      <c r="U33" s="173" t="e">
        <f t="shared" si="52"/>
        <v>#REF!</v>
      </c>
      <c r="V33" s="173" t="e">
        <f t="shared" si="53"/>
        <v>#REF!</v>
      </c>
      <c r="W33" s="1"/>
      <c r="X33" s="189">
        <f>VLOOKUP($B33,'Average RAS salary'!$A$5:$D$62,4,FALSE)</f>
        <v>62406.205978161437</v>
      </c>
      <c r="Y33" s="253">
        <v>69463.307515035704</v>
      </c>
      <c r="Z33" s="252" t="s">
        <v>272</v>
      </c>
      <c r="AA33" s="252" t="s">
        <v>272</v>
      </c>
      <c r="AB33" s="173">
        <f t="shared" si="5"/>
        <v>1.1907474822132986</v>
      </c>
      <c r="AC33" s="172" t="e">
        <f>VLOOKUP($B33,#REF!,3,FALSE)</f>
        <v>#REF!</v>
      </c>
      <c r="AD33" s="172" t="e">
        <f>VLOOKUP($B33,#REF!,5,FALSE)</f>
        <v>#REF!</v>
      </c>
      <c r="AE33" s="172" t="e">
        <f>VLOOKUP($B33,#REF!,6,FALSE)</f>
        <v>#REF!</v>
      </c>
      <c r="AF33" s="173" t="e">
        <f t="shared" si="6"/>
        <v>#REF!</v>
      </c>
      <c r="AG33" s="172" t="e">
        <f t="shared" si="54"/>
        <v>#REF!</v>
      </c>
      <c r="AH33" s="173" t="e">
        <f t="shared" si="7"/>
        <v>#REF!</v>
      </c>
      <c r="AI33" s="173" t="e">
        <f t="shared" si="8"/>
        <v>#REF!</v>
      </c>
      <c r="AJ33" s="189">
        <v>60207.365774984966</v>
      </c>
      <c r="AK33" s="189">
        <f>VLOOKUP($B33,'Average RAS salary'!$A$5:$D$62,4,FALSE)</f>
        <v>62406.205978161437</v>
      </c>
      <c r="AL33" s="189">
        <f t="shared" si="55"/>
        <v>2198.8402031764708</v>
      </c>
      <c r="AM33" s="173">
        <f t="shared" si="56"/>
        <v>3.652111622677981E-2</v>
      </c>
      <c r="AN33" s="189" t="e">
        <f t="shared" si="57"/>
        <v>#REF!</v>
      </c>
      <c r="AO33" s="189" t="e">
        <f t="shared" si="58"/>
        <v>#REF!</v>
      </c>
      <c r="AP33" s="189" t="e">
        <f t="shared" si="59"/>
        <v>#REF!</v>
      </c>
      <c r="AQ33" s="189" t="e">
        <f t="shared" si="135"/>
        <v>#REF!</v>
      </c>
      <c r="AR33" s="189" t="e">
        <f t="shared" si="60"/>
        <v>#REF!</v>
      </c>
      <c r="AS33" s="189" t="e">
        <f t="shared" si="9"/>
        <v>#REF!</v>
      </c>
      <c r="AT33" s="213" t="e">
        <f t="shared" si="61"/>
        <v>#REF!</v>
      </c>
      <c r="AU33" s="173" t="e">
        <f t="shared" si="62"/>
        <v>#REF!</v>
      </c>
      <c r="AV33" s="189"/>
      <c r="AW33" s="189">
        <f>VLOOKUP($B33,'Average RAS salary'!$A$5:$D$62,4,FALSE)</f>
        <v>62406.205978161437</v>
      </c>
      <c r="AX33" s="189" t="e">
        <f t="shared" si="10"/>
        <v>#REF!</v>
      </c>
      <c r="AY33" s="189">
        <v>61716.954769412252</v>
      </c>
      <c r="AZ33" s="189" t="e">
        <f t="shared" si="11"/>
        <v>#REF!</v>
      </c>
      <c r="BA33" s="189" t="e">
        <f t="shared" si="63"/>
        <v>#REF!</v>
      </c>
      <c r="BB33" s="189" t="e">
        <f t="shared" si="64"/>
        <v>#REF!</v>
      </c>
      <c r="BC33" s="189" t="e">
        <f t="shared" si="65"/>
        <v>#REF!</v>
      </c>
      <c r="BD33" s="213">
        <f t="shared" si="66"/>
        <v>-689.25120874918503</v>
      </c>
      <c r="BE33" s="173">
        <f t="shared" si="67"/>
        <v>-1.1044594010255697E-2</v>
      </c>
      <c r="BF33" s="189"/>
      <c r="BG33" s="189">
        <f>VLOOKUP($B33,'Average RAS salary'!$A$5:$D$62,4,FALSE)</f>
        <v>62406.205978161437</v>
      </c>
      <c r="BH33" s="189" t="e">
        <f t="shared" si="68"/>
        <v>#REF!</v>
      </c>
      <c r="BI33" s="189" t="e">
        <f>$BG$65*#REF!</f>
        <v>#REF!</v>
      </c>
      <c r="BJ33" s="189" t="e">
        <f t="shared" si="69"/>
        <v>#REF!</v>
      </c>
      <c r="BK33" s="189" t="e">
        <f t="shared" si="12"/>
        <v>#REF!</v>
      </c>
      <c r="BL33" s="189" t="e">
        <f t="shared" si="13"/>
        <v>#REF!</v>
      </c>
      <c r="BM33" s="189" t="e">
        <f t="shared" si="70"/>
        <v>#REF!</v>
      </c>
      <c r="BN33" s="213" t="e">
        <f t="shared" si="71"/>
        <v>#REF!</v>
      </c>
      <c r="BO33" s="173" t="e">
        <f t="shared" si="72"/>
        <v>#REF!</v>
      </c>
      <c r="BP33" s="189"/>
      <c r="BQ33" s="189">
        <f>VLOOKUP($B33,'Average RAS salary'!$A$5:$D$62,4,FALSE)</f>
        <v>62406.205978161437</v>
      </c>
      <c r="BR33" s="189" t="e">
        <f t="shared" si="73"/>
        <v>#REF!</v>
      </c>
      <c r="BS33" s="189" t="e">
        <f>VLOOKUP($B33,#REF!,19,FALSE)*$BQ$65</f>
        <v>#REF!</v>
      </c>
      <c r="BT33" s="189" t="e">
        <f t="shared" si="74"/>
        <v>#REF!</v>
      </c>
      <c r="BU33" s="189" t="e">
        <f t="shared" si="75"/>
        <v>#REF!</v>
      </c>
      <c r="BV33" s="189" t="e">
        <f t="shared" si="76"/>
        <v>#REF!</v>
      </c>
      <c r="BW33" s="189" t="e">
        <f t="shared" si="77"/>
        <v>#REF!</v>
      </c>
      <c r="BX33" s="213" t="e">
        <f t="shared" si="78"/>
        <v>#REF!</v>
      </c>
      <c r="BY33" s="173" t="e">
        <f t="shared" si="79"/>
        <v>#REF!</v>
      </c>
      <c r="BZ33" s="189"/>
      <c r="CA33" s="189">
        <f>VLOOKUP($B33,'Average RAS salary'!$A$5:$D$62,4,FALSE)</f>
        <v>62406.205978161437</v>
      </c>
      <c r="CB33" s="189" t="e">
        <f t="shared" si="80"/>
        <v>#REF!</v>
      </c>
      <c r="CC33" s="189" t="e">
        <f>IF(VLOOKUP($B33,#REF!,7,FALSE)&gt;VLOOKUP($B33,#REF!,19,FALSE)*$CA$65,VLOOKUP($B33,#REF!,19,FALSE)*$CA$65,VLOOKUP($B33,#REF!,7,FALSE))</f>
        <v>#REF!</v>
      </c>
      <c r="CD33" s="189" t="e">
        <f t="shared" si="81"/>
        <v>#REF!</v>
      </c>
      <c r="CE33" s="189" t="e">
        <f t="shared" si="82"/>
        <v>#REF!</v>
      </c>
      <c r="CF33" s="189" t="e">
        <f t="shared" si="83"/>
        <v>#REF!</v>
      </c>
      <c r="CG33" s="189" t="e">
        <f t="shared" si="84"/>
        <v>#REF!</v>
      </c>
      <c r="CH33" s="213" t="e">
        <f t="shared" si="85"/>
        <v>#REF!</v>
      </c>
      <c r="CI33" s="173" t="e">
        <f t="shared" si="86"/>
        <v>#REF!</v>
      </c>
      <c r="CJ33" s="189"/>
      <c r="CK33" s="189">
        <f>VLOOKUP($B33,'Average RAS salary'!$A$5:$D$62,4,FALSE)</f>
        <v>62406.205978161437</v>
      </c>
      <c r="CL33" s="189" t="e">
        <f t="shared" si="87"/>
        <v>#REF!</v>
      </c>
      <c r="CM33" s="189" t="e">
        <f>IF($AY33&gt;VLOOKUP($B33,#REF!,19,FALSE)*$CK$65,VLOOKUP($B33,#REF!,19,FALSE)*$CK$65,$AY33)</f>
        <v>#REF!</v>
      </c>
      <c r="CN33" s="189" t="e">
        <f t="shared" si="88"/>
        <v>#REF!</v>
      </c>
      <c r="CO33" s="189" t="e">
        <f t="shared" si="89"/>
        <v>#REF!</v>
      </c>
      <c r="CP33" s="189" t="e">
        <f t="shared" si="90"/>
        <v>#REF!</v>
      </c>
      <c r="CQ33" s="189" t="e">
        <f t="shared" si="91"/>
        <v>#REF!</v>
      </c>
      <c r="CR33" s="213" t="e">
        <f t="shared" si="92"/>
        <v>#REF!</v>
      </c>
      <c r="CS33" s="173" t="e">
        <f t="shared" si="93"/>
        <v>#REF!</v>
      </c>
      <c r="CT33" s="1"/>
      <c r="CU33" s="254">
        <v>0.20601822428664471</v>
      </c>
      <c r="CV33" s="252">
        <v>15383.164243609051</v>
      </c>
      <c r="CW33" s="254">
        <v>0.20374406473305456</v>
      </c>
      <c r="CX33" s="255">
        <v>17602.151922956469</v>
      </c>
      <c r="CY33" s="190" t="e">
        <f>VLOOKUP($B33,#REF!,13,FALSE)</f>
        <v>#REF!</v>
      </c>
      <c r="CZ33" s="172" t="e">
        <f>VLOOKUP($B33,#REF!,14,FALSE)</f>
        <v>#REF!</v>
      </c>
      <c r="DA33" s="190" t="e">
        <f>VLOOKUP($B33,#REF!,15,FALSE)</f>
        <v>#REF!</v>
      </c>
      <c r="DB33" s="189" t="e">
        <f>VLOOKUP($B33,#REF!,16,FALSE)</f>
        <v>#REF!</v>
      </c>
      <c r="DC33" s="190" t="e">
        <f t="shared" si="94"/>
        <v>#REF!</v>
      </c>
      <c r="DD33" s="190" t="e">
        <f t="shared" si="95"/>
        <v>#REF!</v>
      </c>
      <c r="DE33" s="190" t="e">
        <f t="shared" si="96"/>
        <v>#REF!</v>
      </c>
      <c r="DF33" s="190" t="e">
        <f t="shared" si="97"/>
        <v>#REF!</v>
      </c>
      <c r="DG33" s="1"/>
      <c r="DH33" s="253" t="s">
        <v>272</v>
      </c>
      <c r="DI33" s="253">
        <v>0</v>
      </c>
      <c r="DJ33" s="173">
        <f t="shared" si="98"/>
        <v>0</v>
      </c>
      <c r="DK33" s="172" t="e">
        <f>IF(VLOOKUP($B33,#REF!,6,FALSE)="Y","Yes","")</f>
        <v>#REF!</v>
      </c>
      <c r="DL33" s="172" t="e">
        <f>VLOOKUP($B33,#REF!,4,FALSE)</f>
        <v>#REF!</v>
      </c>
      <c r="DM33" s="173" t="e">
        <f t="shared" si="15"/>
        <v>#REF!</v>
      </c>
      <c r="DN33" s="1"/>
      <c r="DO33" s="172">
        <f t="shared" si="99"/>
        <v>22649369.676905781</v>
      </c>
      <c r="DP33" s="252">
        <v>21944855.562268358</v>
      </c>
      <c r="DQ33" s="172">
        <f t="shared" si="100"/>
        <v>-704514.11463742331</v>
      </c>
      <c r="DR33" s="173">
        <f t="shared" si="16"/>
        <v>-3.110524154479118E-2</v>
      </c>
      <c r="DS33" s="172">
        <f t="shared" si="101"/>
        <v>21944855.562268358</v>
      </c>
      <c r="DT33" s="252">
        <v>22349722.317471262</v>
      </c>
      <c r="DU33" s="172">
        <f t="shared" si="102"/>
        <v>404866.75520290434</v>
      </c>
      <c r="DV33" s="173">
        <f t="shared" si="103"/>
        <v>1.7875409381291656E-2</v>
      </c>
      <c r="DW33" s="172">
        <f t="shared" si="104"/>
        <v>22349722.317471262</v>
      </c>
      <c r="DX33" s="252">
        <v>22301685.9194762</v>
      </c>
      <c r="DY33" s="172">
        <f t="shared" si="105"/>
        <v>-48036.397995062172</v>
      </c>
      <c r="DZ33" s="173">
        <f t="shared" si="106"/>
        <v>-2.1208712948882651E-3</v>
      </c>
      <c r="EA33" s="172">
        <f t="shared" si="107"/>
        <v>22301685.9194762</v>
      </c>
      <c r="EB33" s="252">
        <v>22634658.592793334</v>
      </c>
      <c r="EC33" s="172">
        <f t="shared" si="108"/>
        <v>332972.67331713438</v>
      </c>
      <c r="ED33" s="173">
        <f t="shared" si="109"/>
        <v>1.4701189395864154E-2</v>
      </c>
      <c r="EE33" s="172">
        <f t="shared" si="110"/>
        <v>22634658.592793334</v>
      </c>
      <c r="EF33" s="252">
        <v>22759546.441129085</v>
      </c>
      <c r="EG33" s="172">
        <f t="shared" si="111"/>
        <v>124887.8483357504</v>
      </c>
      <c r="EH33" s="173">
        <f t="shared" si="112"/>
        <v>5.5139657357922475E-3</v>
      </c>
      <c r="EI33" s="172">
        <f t="shared" si="113"/>
        <v>22759546.441129085</v>
      </c>
      <c r="EJ33" s="252">
        <v>22649369.676905781</v>
      </c>
      <c r="EK33" s="172">
        <f t="shared" si="114"/>
        <v>-110176.76422330365</v>
      </c>
      <c r="EL33" s="173">
        <f t="shared" si="115"/>
        <v>-4.8644516732686098E-3</v>
      </c>
      <c r="EM33" s="172">
        <f t="shared" si="116"/>
        <v>0</v>
      </c>
      <c r="EN33" s="173">
        <f t="shared" si="17"/>
        <v>0</v>
      </c>
      <c r="EO33" s="214"/>
      <c r="EP33" s="273">
        <v>13426024.889673119</v>
      </c>
      <c r="EQ33" s="273">
        <v>13009245.044582905</v>
      </c>
      <c r="ER33" s="172">
        <f t="shared" si="117"/>
        <v>-416779.84509021416</v>
      </c>
      <c r="ES33" s="173">
        <f t="shared" si="18"/>
        <v>-3.1042683781317006E-2</v>
      </c>
      <c r="ET33" s="273">
        <v>5759477.1077839937</v>
      </c>
      <c r="EU33" s="273">
        <v>5579252.8616834525</v>
      </c>
      <c r="EV33" s="172">
        <f t="shared" si="118"/>
        <v>-180224.2461005412</v>
      </c>
      <c r="EW33" s="173">
        <f t="shared" si="19"/>
        <v>-3.1291772278592138E-2</v>
      </c>
      <c r="EX33" s="273">
        <v>3999755.83</v>
      </c>
      <c r="EY33" s="273">
        <v>3874109.0500000003</v>
      </c>
      <c r="EZ33" s="172">
        <f t="shared" si="119"/>
        <v>-125646.7799999998</v>
      </c>
      <c r="FA33" s="173">
        <f t="shared" si="20"/>
        <v>-3.1413612565444976E-2</v>
      </c>
      <c r="FB33" s="172">
        <f t="shared" si="120"/>
        <v>13009245.044582905</v>
      </c>
      <c r="FC33" s="273">
        <v>13270254.933400242</v>
      </c>
      <c r="FD33" s="172">
        <f t="shared" si="121"/>
        <v>261009.88881733641</v>
      </c>
      <c r="FE33" s="173">
        <f t="shared" si="21"/>
        <v>2.006341551126534E-2</v>
      </c>
      <c r="FF33" s="172">
        <f t="shared" si="122"/>
        <v>5579252.8616834525</v>
      </c>
      <c r="FG33" s="273">
        <v>5632930.5670867078</v>
      </c>
      <c r="FH33" s="172">
        <f t="shared" si="123"/>
        <v>53677.705403255299</v>
      </c>
      <c r="FI33" s="173">
        <f t="shared" si="22"/>
        <v>9.6209486707255799E-3</v>
      </c>
      <c r="FJ33" s="172">
        <f t="shared" si="124"/>
        <v>13270254.933400242</v>
      </c>
      <c r="FK33" s="273">
        <v>13248687.873370729</v>
      </c>
      <c r="FL33" s="172">
        <f t="shared" si="125"/>
        <v>-21567.060029512271</v>
      </c>
      <c r="FM33" s="173">
        <f t="shared" si="23"/>
        <v>-1.6252182145521251E-3</v>
      </c>
      <c r="FN33" s="172">
        <f t="shared" si="126"/>
        <v>5632930.5670867078</v>
      </c>
      <c r="FO33" s="273">
        <v>5628494.7753111636</v>
      </c>
      <c r="FP33" s="172">
        <f t="shared" si="127"/>
        <v>-4435.791775544174</v>
      </c>
      <c r="FQ33" s="173">
        <f t="shared" si="24"/>
        <v>-7.8747496045177045E-4</v>
      </c>
      <c r="FR33" s="172">
        <f t="shared" si="128"/>
        <v>5628494.7753111636</v>
      </c>
      <c r="FS33" s="273">
        <v>5755604.1133034425</v>
      </c>
      <c r="FT33" s="172">
        <f t="shared" si="129"/>
        <v>127109.33799227886</v>
      </c>
      <c r="FU33" s="173">
        <f t="shared" si="25"/>
        <v>2.2583184859623823E-2</v>
      </c>
      <c r="FV33" s="172">
        <f t="shared" si="26"/>
        <v>3874109.0500000003</v>
      </c>
      <c r="FW33" s="273">
        <v>4209834.1000000006</v>
      </c>
      <c r="FX33" s="172">
        <f t="shared" si="130"/>
        <v>335725.05000000028</v>
      </c>
      <c r="FY33" s="173">
        <f t="shared" si="27"/>
        <v>8.6658647360481567E-2</v>
      </c>
      <c r="FZ33" s="214"/>
      <c r="GA33" s="172">
        <f t="shared" si="28"/>
        <v>13426024.889673119</v>
      </c>
      <c r="GB33" s="172">
        <f t="shared" si="29"/>
        <v>-416779.84509021416</v>
      </c>
      <c r="GC33" s="172">
        <f t="shared" si="30"/>
        <v>261009.88881733641</v>
      </c>
      <c r="GD33" s="172">
        <f t="shared" si="31"/>
        <v>-21567.060029512271</v>
      </c>
      <c r="GE33" s="172">
        <f t="shared" si="32"/>
        <v>-177337.01630239002</v>
      </c>
      <c r="GF33" s="172">
        <f t="shared" si="33"/>
        <v>13248687.873370729</v>
      </c>
      <c r="GG33" s="173">
        <f t="shared" si="34"/>
        <v>-1.3208452819031501E-2</v>
      </c>
      <c r="GH33" s="244"/>
      <c r="GI33" s="172">
        <f t="shared" si="35"/>
        <v>5759477.1077839937</v>
      </c>
      <c r="GJ33" s="172">
        <f t="shared" si="36"/>
        <v>-180224.2461005412</v>
      </c>
      <c r="GK33" s="172">
        <f t="shared" si="37"/>
        <v>53677.705403255299</v>
      </c>
      <c r="GL33" s="172">
        <f t="shared" si="38"/>
        <v>-4435.791775544174</v>
      </c>
      <c r="GM33" s="172">
        <f t="shared" si="39"/>
        <v>127109.33799227886</v>
      </c>
      <c r="GN33" s="172">
        <f t="shared" si="40"/>
        <v>-3872.9944805512205</v>
      </c>
      <c r="GO33" s="172">
        <f t="shared" si="41"/>
        <v>5755604.1133034425</v>
      </c>
      <c r="GP33" s="173">
        <f t="shared" si="42"/>
        <v>-6.7245592057598911E-4</v>
      </c>
      <c r="GQ33" s="214"/>
      <c r="GR33" s="172">
        <f t="shared" si="43"/>
        <v>3999755.83</v>
      </c>
      <c r="GS33" s="172">
        <f t="shared" si="44"/>
        <v>-125646.7799999998</v>
      </c>
      <c r="GT33" s="172">
        <f t="shared" si="45"/>
        <v>335725.05000000028</v>
      </c>
      <c r="GU33" s="172">
        <f t="shared" si="131"/>
        <v>210078.27000000048</v>
      </c>
      <c r="GV33" s="172">
        <f t="shared" si="132"/>
        <v>4209834.1000000006</v>
      </c>
      <c r="GW33" s="173">
        <f t="shared" si="133"/>
        <v>5.2522773621408905E-2</v>
      </c>
      <c r="GX33" s="214"/>
      <c r="GY33" s="273">
        <v>-535888.15055133565</v>
      </c>
      <c r="GZ33" s="172" t="e">
        <f t="shared" si="134"/>
        <v>#REF!</v>
      </c>
      <c r="HA33" s="172" t="e">
        <f>-VLOOKUP($B33,#REF!,23,FALSE)</f>
        <v>#REF!</v>
      </c>
    </row>
    <row r="34" spans="1:209" ht="15" customHeight="1" x14ac:dyDescent="0.45">
      <c r="A34" s="148">
        <v>2</v>
      </c>
      <c r="B34" s="212" t="s">
        <v>29</v>
      </c>
      <c r="C34" s="172">
        <v>6088977.5380985439</v>
      </c>
      <c r="D34" s="173">
        <f t="shared" si="0"/>
        <v>4.2270242335258465E-3</v>
      </c>
      <c r="E34" s="1"/>
      <c r="F34" s="252">
        <v>9024771.244739119</v>
      </c>
      <c r="G34" s="173">
        <f t="shared" si="1"/>
        <v>3.8401312713959869E-3</v>
      </c>
      <c r="H34" s="173">
        <f t="shared" si="46"/>
        <v>0.90847155333028595</v>
      </c>
      <c r="I34" s="172" t="e">
        <f>VLOOKUP($B34,#REF!,24,FALSE)</f>
        <v>#REF!</v>
      </c>
      <c r="J34" s="173" t="e">
        <f t="shared" si="2"/>
        <v>#REF!</v>
      </c>
      <c r="K34" s="173" t="e">
        <f t="shared" si="47"/>
        <v>#REF!</v>
      </c>
      <c r="L34" s="172" t="e">
        <f t="shared" si="48"/>
        <v>#REF!</v>
      </c>
      <c r="M34" s="173" t="e">
        <f t="shared" si="49"/>
        <v>#REF!</v>
      </c>
      <c r="N34" s="173" t="e">
        <f t="shared" si="50"/>
        <v>#REF!</v>
      </c>
      <c r="O34" s="176"/>
      <c r="P34" s="253">
        <v>72</v>
      </c>
      <c r="Q34" s="173">
        <f t="shared" si="3"/>
        <v>4.0048948715096224E-3</v>
      </c>
      <c r="R34" s="172" t="e">
        <f>VLOOKUP($B34,#REF!,4,FALSE)</f>
        <v>#REF!</v>
      </c>
      <c r="S34" s="173" t="e">
        <f t="shared" si="4"/>
        <v>#REF!</v>
      </c>
      <c r="T34" s="172" t="e">
        <f t="shared" si="51"/>
        <v>#REF!</v>
      </c>
      <c r="U34" s="173" t="e">
        <f t="shared" si="52"/>
        <v>#REF!</v>
      </c>
      <c r="V34" s="173" t="e">
        <f t="shared" si="53"/>
        <v>#REF!</v>
      </c>
      <c r="W34" s="1"/>
      <c r="X34" s="189">
        <f>VLOOKUP($B34,'Average RAS salary'!$A$5:$D$62,4,FALSE)</f>
        <v>72884.695447409729</v>
      </c>
      <c r="Y34" s="253">
        <v>70945.643202819614</v>
      </c>
      <c r="Z34" s="252" t="s">
        <v>272</v>
      </c>
      <c r="AA34" s="252" t="s">
        <v>272</v>
      </c>
      <c r="AB34" s="173">
        <f t="shared" si="5"/>
        <v>1.2161578398707071</v>
      </c>
      <c r="AC34" s="172" t="e">
        <f>VLOOKUP($B34,#REF!,3,FALSE)</f>
        <v>#REF!</v>
      </c>
      <c r="AD34" s="172" t="e">
        <f>VLOOKUP($B34,#REF!,5,FALSE)</f>
        <v>#REF!</v>
      </c>
      <c r="AE34" s="172" t="e">
        <f>VLOOKUP($B34,#REF!,6,FALSE)</f>
        <v>#REF!</v>
      </c>
      <c r="AF34" s="173" t="e">
        <f t="shared" si="6"/>
        <v>#REF!</v>
      </c>
      <c r="AG34" s="172" t="e">
        <f t="shared" si="54"/>
        <v>#REF!</v>
      </c>
      <c r="AH34" s="173" t="e">
        <f t="shared" si="7"/>
        <v>#REF!</v>
      </c>
      <c r="AI34" s="173" t="e">
        <f t="shared" si="8"/>
        <v>#REF!</v>
      </c>
      <c r="AJ34" s="189">
        <v>69714.297213622296</v>
      </c>
      <c r="AK34" s="189">
        <f>VLOOKUP($B34,'Average RAS salary'!$A$5:$D$62,4,FALSE)</f>
        <v>72884.695447409729</v>
      </c>
      <c r="AL34" s="189">
        <f t="shared" si="55"/>
        <v>3170.3982337874331</v>
      </c>
      <c r="AM34" s="173">
        <f t="shared" si="56"/>
        <v>4.5477016343900424E-2</v>
      </c>
      <c r="AN34" s="189" t="e">
        <f t="shared" si="57"/>
        <v>#REF!</v>
      </c>
      <c r="AO34" s="189" t="e">
        <f t="shared" si="58"/>
        <v>#REF!</v>
      </c>
      <c r="AP34" s="189" t="e">
        <f t="shared" si="59"/>
        <v>#REF!</v>
      </c>
      <c r="AQ34" s="189" t="e">
        <f t="shared" si="135"/>
        <v>#REF!</v>
      </c>
      <c r="AR34" s="189" t="e">
        <f t="shared" si="60"/>
        <v>#REF!</v>
      </c>
      <c r="AS34" s="189" t="e">
        <f t="shared" si="9"/>
        <v>#REF!</v>
      </c>
      <c r="AT34" s="213" t="e">
        <f t="shared" si="61"/>
        <v>#REF!</v>
      </c>
      <c r="AU34" s="173" t="e">
        <f t="shared" si="62"/>
        <v>#REF!</v>
      </c>
      <c r="AV34" s="189"/>
      <c r="AW34" s="189">
        <f>VLOOKUP($B34,'Average RAS salary'!$A$5:$D$62,4,FALSE)</f>
        <v>72884.695447409729</v>
      </c>
      <c r="AX34" s="189" t="e">
        <f t="shared" si="10"/>
        <v>#REF!</v>
      </c>
      <c r="AY34" s="189">
        <v>63082.575685455318</v>
      </c>
      <c r="AZ34" s="189" t="e">
        <f t="shared" si="11"/>
        <v>#REF!</v>
      </c>
      <c r="BA34" s="189" t="e">
        <f t="shared" si="63"/>
        <v>#REF!</v>
      </c>
      <c r="BB34" s="189" t="e">
        <f t="shared" si="64"/>
        <v>#REF!</v>
      </c>
      <c r="BC34" s="189" t="e">
        <f t="shared" si="65"/>
        <v>#REF!</v>
      </c>
      <c r="BD34" s="213">
        <f t="shared" si="66"/>
        <v>-9802.1197619544109</v>
      </c>
      <c r="BE34" s="173">
        <f t="shared" si="67"/>
        <v>-0.1344880389742065</v>
      </c>
      <c r="BF34" s="189"/>
      <c r="BG34" s="189">
        <f>VLOOKUP($B34,'Average RAS salary'!$A$5:$D$62,4,FALSE)</f>
        <v>72884.695447409729</v>
      </c>
      <c r="BH34" s="189" t="e">
        <f t="shared" si="68"/>
        <v>#REF!</v>
      </c>
      <c r="BI34" s="189" t="e">
        <f>$BG$65*#REF!</f>
        <v>#REF!</v>
      </c>
      <c r="BJ34" s="189" t="e">
        <f t="shared" si="69"/>
        <v>#REF!</v>
      </c>
      <c r="BK34" s="189" t="e">
        <f t="shared" si="12"/>
        <v>#REF!</v>
      </c>
      <c r="BL34" s="189" t="e">
        <f t="shared" si="13"/>
        <v>#REF!</v>
      </c>
      <c r="BM34" s="189" t="e">
        <f t="shared" si="70"/>
        <v>#REF!</v>
      </c>
      <c r="BN34" s="213" t="e">
        <f t="shared" si="71"/>
        <v>#REF!</v>
      </c>
      <c r="BO34" s="173" t="e">
        <f t="shared" si="72"/>
        <v>#REF!</v>
      </c>
      <c r="BP34" s="189"/>
      <c r="BQ34" s="189">
        <f>VLOOKUP($B34,'Average RAS salary'!$A$5:$D$62,4,FALSE)</f>
        <v>72884.695447409729</v>
      </c>
      <c r="BR34" s="189" t="e">
        <f t="shared" si="73"/>
        <v>#REF!</v>
      </c>
      <c r="BS34" s="189" t="e">
        <f>VLOOKUP($B34,#REF!,19,FALSE)*$BQ$65</f>
        <v>#REF!</v>
      </c>
      <c r="BT34" s="189" t="e">
        <f t="shared" si="74"/>
        <v>#REF!</v>
      </c>
      <c r="BU34" s="189" t="e">
        <f t="shared" si="75"/>
        <v>#REF!</v>
      </c>
      <c r="BV34" s="189" t="e">
        <f t="shared" si="76"/>
        <v>#REF!</v>
      </c>
      <c r="BW34" s="189" t="e">
        <f t="shared" si="77"/>
        <v>#REF!</v>
      </c>
      <c r="BX34" s="213" t="e">
        <f t="shared" si="78"/>
        <v>#REF!</v>
      </c>
      <c r="BY34" s="173" t="e">
        <f t="shared" si="79"/>
        <v>#REF!</v>
      </c>
      <c r="BZ34" s="189"/>
      <c r="CA34" s="189">
        <f>VLOOKUP($B34,'Average RAS salary'!$A$5:$D$62,4,FALSE)</f>
        <v>72884.695447409729</v>
      </c>
      <c r="CB34" s="189" t="e">
        <f t="shared" si="80"/>
        <v>#REF!</v>
      </c>
      <c r="CC34" s="189" t="e">
        <f>IF(VLOOKUP($B34,#REF!,7,FALSE)&gt;VLOOKUP($B34,#REF!,19,FALSE)*$CA$65,VLOOKUP($B34,#REF!,19,FALSE)*$CA$65,VLOOKUP($B34,#REF!,7,FALSE))</f>
        <v>#REF!</v>
      </c>
      <c r="CD34" s="189" t="e">
        <f t="shared" si="81"/>
        <v>#REF!</v>
      </c>
      <c r="CE34" s="189" t="e">
        <f t="shared" si="82"/>
        <v>#REF!</v>
      </c>
      <c r="CF34" s="189" t="e">
        <f t="shared" si="83"/>
        <v>#REF!</v>
      </c>
      <c r="CG34" s="189" t="e">
        <f t="shared" si="84"/>
        <v>#REF!</v>
      </c>
      <c r="CH34" s="213" t="e">
        <f t="shared" si="85"/>
        <v>#REF!</v>
      </c>
      <c r="CI34" s="173" t="e">
        <f t="shared" si="86"/>
        <v>#REF!</v>
      </c>
      <c r="CJ34" s="189"/>
      <c r="CK34" s="189">
        <f>VLOOKUP($B34,'Average RAS salary'!$A$5:$D$62,4,FALSE)</f>
        <v>72884.695447409729</v>
      </c>
      <c r="CL34" s="189" t="e">
        <f t="shared" si="87"/>
        <v>#REF!</v>
      </c>
      <c r="CM34" s="189" t="e">
        <f>IF($AY34&gt;VLOOKUP($B34,#REF!,19,FALSE)*$CK$65,VLOOKUP($B34,#REF!,19,FALSE)*$CK$65,$AY34)</f>
        <v>#REF!</v>
      </c>
      <c r="CN34" s="189" t="e">
        <f t="shared" si="88"/>
        <v>#REF!</v>
      </c>
      <c r="CO34" s="189" t="e">
        <f t="shared" si="89"/>
        <v>#REF!</v>
      </c>
      <c r="CP34" s="189" t="e">
        <f t="shared" si="90"/>
        <v>#REF!</v>
      </c>
      <c r="CQ34" s="189" t="e">
        <f t="shared" si="91"/>
        <v>#REF!</v>
      </c>
      <c r="CR34" s="213" t="e">
        <f t="shared" si="92"/>
        <v>#REF!</v>
      </c>
      <c r="CS34" s="173" t="e">
        <f t="shared" si="93"/>
        <v>#REF!</v>
      </c>
      <c r="CT34" s="1"/>
      <c r="CU34" s="254">
        <v>0.18995219095010327</v>
      </c>
      <c r="CV34" s="252">
        <v>20875.51633397313</v>
      </c>
      <c r="CW34" s="254">
        <v>0.19148000028826903</v>
      </c>
      <c r="CX34" s="255">
        <v>22496.035555555554</v>
      </c>
      <c r="CY34" s="190" t="e">
        <f>VLOOKUP($B34,#REF!,13,FALSE)</f>
        <v>#REF!</v>
      </c>
      <c r="CZ34" s="172" t="e">
        <f>VLOOKUP($B34,#REF!,14,FALSE)</f>
        <v>#REF!</v>
      </c>
      <c r="DA34" s="190" t="e">
        <f>VLOOKUP($B34,#REF!,15,FALSE)</f>
        <v>#REF!</v>
      </c>
      <c r="DB34" s="189" t="e">
        <f>VLOOKUP($B34,#REF!,16,FALSE)</f>
        <v>#REF!</v>
      </c>
      <c r="DC34" s="190" t="e">
        <f t="shared" si="94"/>
        <v>#REF!</v>
      </c>
      <c r="DD34" s="190" t="e">
        <f t="shared" si="95"/>
        <v>#REF!</v>
      </c>
      <c r="DE34" s="190" t="e">
        <f t="shared" si="96"/>
        <v>#REF!</v>
      </c>
      <c r="DF34" s="190" t="e">
        <f t="shared" si="97"/>
        <v>#REF!</v>
      </c>
      <c r="DG34" s="1"/>
      <c r="DH34" s="253" t="s">
        <v>272</v>
      </c>
      <c r="DI34" s="253">
        <v>0</v>
      </c>
      <c r="DJ34" s="173">
        <f t="shared" si="98"/>
        <v>0</v>
      </c>
      <c r="DK34" s="172" t="e">
        <f>IF(VLOOKUP($B34,#REF!,6,FALSE)="Y","Yes","")</f>
        <v>#REF!</v>
      </c>
      <c r="DL34" s="172" t="e">
        <f>VLOOKUP($B34,#REF!,4,FALSE)</f>
        <v>#REF!</v>
      </c>
      <c r="DM34" s="173" t="e">
        <f t="shared" si="15"/>
        <v>#REF!</v>
      </c>
      <c r="DN34" s="1"/>
      <c r="DO34" s="172">
        <f t="shared" si="99"/>
        <v>9024771.244739119</v>
      </c>
      <c r="DP34" s="252">
        <v>8717542.4316603541</v>
      </c>
      <c r="DQ34" s="172">
        <f t="shared" si="100"/>
        <v>-307228.81307876483</v>
      </c>
      <c r="DR34" s="173">
        <f t="shared" si="16"/>
        <v>-3.4042836626785429E-2</v>
      </c>
      <c r="DS34" s="172">
        <f t="shared" si="101"/>
        <v>8717542.4316603541</v>
      </c>
      <c r="DT34" s="252">
        <v>8865914.9425746966</v>
      </c>
      <c r="DU34" s="172">
        <f t="shared" si="102"/>
        <v>148372.51091434248</v>
      </c>
      <c r="DV34" s="173">
        <f t="shared" si="103"/>
        <v>1.6440584131241491E-2</v>
      </c>
      <c r="DW34" s="172">
        <f t="shared" si="104"/>
        <v>8865914.9425746966</v>
      </c>
      <c r="DX34" s="252">
        <v>8842784.9042566884</v>
      </c>
      <c r="DY34" s="172">
        <f t="shared" si="105"/>
        <v>-23130.038318008184</v>
      </c>
      <c r="DZ34" s="173">
        <f t="shared" si="106"/>
        <v>-2.5629500948837411E-3</v>
      </c>
      <c r="EA34" s="172">
        <f t="shared" si="107"/>
        <v>8842784.9042566884</v>
      </c>
      <c r="EB34" s="252">
        <v>8983114.2428974248</v>
      </c>
      <c r="EC34" s="172">
        <f t="shared" si="108"/>
        <v>140329.33864073642</v>
      </c>
      <c r="ED34" s="173">
        <f t="shared" si="109"/>
        <v>1.5549351317080719E-2</v>
      </c>
      <c r="EE34" s="172">
        <f t="shared" si="110"/>
        <v>8983114.2428974248</v>
      </c>
      <c r="EF34" s="252">
        <v>9030192.3846784383</v>
      </c>
      <c r="EG34" s="172">
        <f t="shared" si="111"/>
        <v>47078.141781013459</v>
      </c>
      <c r="EH34" s="173">
        <f t="shared" si="112"/>
        <v>5.216546824769336E-3</v>
      </c>
      <c r="EI34" s="172">
        <f t="shared" si="113"/>
        <v>9030192.3846784383</v>
      </c>
      <c r="EJ34" s="252">
        <v>9024771.244739119</v>
      </c>
      <c r="EK34" s="172">
        <f t="shared" si="114"/>
        <v>-5421.1399393193424</v>
      </c>
      <c r="EL34" s="173">
        <f t="shared" si="115"/>
        <v>-6.006955514223732E-4</v>
      </c>
      <c r="EM34" s="172">
        <f t="shared" si="116"/>
        <v>0</v>
      </c>
      <c r="EN34" s="173">
        <f t="shared" si="17"/>
        <v>0</v>
      </c>
      <c r="EO34" s="214"/>
      <c r="EP34" s="273">
        <v>5230276.2616343796</v>
      </c>
      <c r="EQ34" s="273">
        <v>5017439.332025921</v>
      </c>
      <c r="ER34" s="172">
        <f t="shared" si="117"/>
        <v>-212836.92960845865</v>
      </c>
      <c r="ES34" s="173">
        <f t="shared" si="18"/>
        <v>-4.0693248111898096E-2</v>
      </c>
      <c r="ET34" s="273">
        <v>2515744.3111815159</v>
      </c>
      <c r="EU34" s="273">
        <v>2412688.9210853768</v>
      </c>
      <c r="EV34" s="172">
        <f t="shared" si="118"/>
        <v>-103055.39009613916</v>
      </c>
      <c r="EW34" s="173">
        <f t="shared" si="19"/>
        <v>-4.0964174951364327E-2</v>
      </c>
      <c r="EX34" s="273">
        <v>1507761.36</v>
      </c>
      <c r="EY34" s="273">
        <v>1444937.97</v>
      </c>
      <c r="EZ34" s="172">
        <f t="shared" si="119"/>
        <v>-62823.39000000013</v>
      </c>
      <c r="FA34" s="173">
        <f t="shared" si="20"/>
        <v>-4.1666666666666748E-2</v>
      </c>
      <c r="FB34" s="172">
        <f t="shared" si="120"/>
        <v>5017439.332025921</v>
      </c>
      <c r="FC34" s="273">
        <v>5122258.0588181484</v>
      </c>
      <c r="FD34" s="172">
        <f t="shared" si="121"/>
        <v>104818.72679222748</v>
      </c>
      <c r="FE34" s="173">
        <f t="shared" si="21"/>
        <v>2.0890880757277477E-2</v>
      </c>
      <c r="FF34" s="172">
        <f t="shared" si="122"/>
        <v>2412688.9210853768</v>
      </c>
      <c r="FG34" s="273">
        <v>2432634.8422428356</v>
      </c>
      <c r="FH34" s="172">
        <f t="shared" si="123"/>
        <v>19945.921157458797</v>
      </c>
      <c r="FI34" s="173">
        <f t="shared" si="22"/>
        <v>8.2670919500413206E-3</v>
      </c>
      <c r="FJ34" s="172">
        <f t="shared" si="124"/>
        <v>5122258.0588181484</v>
      </c>
      <c r="FK34" s="273">
        <v>5156482.5829602005</v>
      </c>
      <c r="FL34" s="172">
        <f t="shared" si="125"/>
        <v>34224.524142052047</v>
      </c>
      <c r="FM34" s="173">
        <f t="shared" si="23"/>
        <v>6.6815306353285578E-3</v>
      </c>
      <c r="FN34" s="172">
        <f t="shared" si="126"/>
        <v>2432634.8422428356</v>
      </c>
      <c r="FO34" s="273">
        <v>2439145.3156967349</v>
      </c>
      <c r="FP34" s="172">
        <f t="shared" si="127"/>
        <v>6510.4734538993798</v>
      </c>
      <c r="FQ34" s="173">
        <f t="shared" si="24"/>
        <v>2.6763052723099484E-3</v>
      </c>
      <c r="FR34" s="172">
        <f t="shared" si="128"/>
        <v>2439145.3156967349</v>
      </c>
      <c r="FS34" s="273">
        <v>2495586.8602300826</v>
      </c>
      <c r="FT34" s="172">
        <f t="shared" si="129"/>
        <v>56441.544533347711</v>
      </c>
      <c r="FU34" s="173">
        <f t="shared" si="25"/>
        <v>2.3139885996183603E-2</v>
      </c>
      <c r="FV34" s="172">
        <f t="shared" si="26"/>
        <v>1444937.97</v>
      </c>
      <c r="FW34" s="273">
        <v>1570154.34</v>
      </c>
      <c r="FX34" s="172">
        <f t="shared" si="130"/>
        <v>125216.37000000011</v>
      </c>
      <c r="FY34" s="173">
        <f t="shared" si="27"/>
        <v>8.665864736048158E-2</v>
      </c>
      <c r="FZ34" s="214"/>
      <c r="GA34" s="172">
        <f t="shared" si="28"/>
        <v>5230276.2616343796</v>
      </c>
      <c r="GB34" s="172">
        <f t="shared" si="29"/>
        <v>-212836.92960845865</v>
      </c>
      <c r="GC34" s="172">
        <f t="shared" si="30"/>
        <v>104818.72679222748</v>
      </c>
      <c r="GD34" s="172">
        <f t="shared" si="31"/>
        <v>34224.524142052047</v>
      </c>
      <c r="GE34" s="172">
        <f t="shared" si="32"/>
        <v>-73793.678674179129</v>
      </c>
      <c r="GF34" s="172">
        <f t="shared" si="33"/>
        <v>5156482.5829602005</v>
      </c>
      <c r="GG34" s="173">
        <f t="shared" si="34"/>
        <v>-1.4108944725439753E-2</v>
      </c>
      <c r="GH34" s="244"/>
      <c r="GI34" s="172">
        <f t="shared" si="35"/>
        <v>2515744.3111815159</v>
      </c>
      <c r="GJ34" s="172">
        <f t="shared" si="36"/>
        <v>-103055.39009613916</v>
      </c>
      <c r="GK34" s="172">
        <f t="shared" si="37"/>
        <v>19945.921157458797</v>
      </c>
      <c r="GL34" s="172">
        <f t="shared" si="38"/>
        <v>6510.4734538993798</v>
      </c>
      <c r="GM34" s="172">
        <f t="shared" si="39"/>
        <v>56441.544533347711</v>
      </c>
      <c r="GN34" s="172">
        <f t="shared" si="40"/>
        <v>-20157.450951433275</v>
      </c>
      <c r="GO34" s="172">
        <f t="shared" si="41"/>
        <v>2495586.8602300826</v>
      </c>
      <c r="GP34" s="173">
        <f t="shared" si="42"/>
        <v>-8.0125197389262319E-3</v>
      </c>
      <c r="GQ34" s="214"/>
      <c r="GR34" s="172">
        <f t="shared" si="43"/>
        <v>1507761.36</v>
      </c>
      <c r="GS34" s="172">
        <f t="shared" si="44"/>
        <v>-62823.39000000013</v>
      </c>
      <c r="GT34" s="172">
        <f t="shared" si="45"/>
        <v>125216.37000000011</v>
      </c>
      <c r="GU34" s="172">
        <f t="shared" si="131"/>
        <v>62392.979999999981</v>
      </c>
      <c r="GV34" s="172">
        <f t="shared" si="132"/>
        <v>1570154.34</v>
      </c>
      <c r="GW34" s="173">
        <f t="shared" si="133"/>
        <v>4.1381203720461425E-2</v>
      </c>
      <c r="GX34" s="214"/>
      <c r="GY34" s="273">
        <v>-229010.68807677549</v>
      </c>
      <c r="GZ34" s="172" t="e">
        <f t="shared" si="134"/>
        <v>#REF!</v>
      </c>
      <c r="HA34" s="172" t="e">
        <f>-VLOOKUP($B34,#REF!,23,FALSE)</f>
        <v>#REF!</v>
      </c>
    </row>
    <row r="35" spans="1:209" ht="15" customHeight="1" x14ac:dyDescent="0.45">
      <c r="A35" s="148">
        <v>2</v>
      </c>
      <c r="B35" s="215" t="s">
        <v>30</v>
      </c>
      <c r="C35" s="172">
        <v>3817224.9629641292</v>
      </c>
      <c r="D35" s="173">
        <f t="shared" si="0"/>
        <v>2.6499526927648916E-3</v>
      </c>
      <c r="E35" s="1"/>
      <c r="F35" s="252">
        <v>5266676.2771302313</v>
      </c>
      <c r="G35" s="173">
        <f t="shared" si="1"/>
        <v>2.2410239240043851E-3</v>
      </c>
      <c r="H35" s="173">
        <f t="shared" si="46"/>
        <v>0.84568450226413638</v>
      </c>
      <c r="I35" s="172" t="e">
        <f>VLOOKUP($B35,#REF!,24,FALSE)</f>
        <v>#REF!</v>
      </c>
      <c r="J35" s="173" t="e">
        <f t="shared" si="2"/>
        <v>#REF!</v>
      </c>
      <c r="K35" s="173" t="e">
        <f t="shared" si="47"/>
        <v>#REF!</v>
      </c>
      <c r="L35" s="172" t="e">
        <f t="shared" si="48"/>
        <v>#REF!</v>
      </c>
      <c r="M35" s="173" t="e">
        <f t="shared" si="49"/>
        <v>#REF!</v>
      </c>
      <c r="N35" s="173" t="e">
        <f t="shared" si="50"/>
        <v>#REF!</v>
      </c>
      <c r="O35" s="176"/>
      <c r="P35" s="253">
        <v>50</v>
      </c>
      <c r="Q35" s="173">
        <f t="shared" si="3"/>
        <v>2.7811769941039049E-3</v>
      </c>
      <c r="R35" s="172" t="e">
        <f>VLOOKUP($B35,#REF!,4,FALSE)</f>
        <v>#REF!</v>
      </c>
      <c r="S35" s="173" t="e">
        <f t="shared" si="4"/>
        <v>#REF!</v>
      </c>
      <c r="T35" s="172" t="e">
        <f t="shared" si="51"/>
        <v>#REF!</v>
      </c>
      <c r="U35" s="173" t="e">
        <f t="shared" si="52"/>
        <v>#REF!</v>
      </c>
      <c r="V35" s="173" t="e">
        <f t="shared" si="53"/>
        <v>#REF!</v>
      </c>
      <c r="W35" s="1"/>
      <c r="X35" s="189">
        <f>VLOOKUP($B35,'Average RAS salary'!$A$5:$D$62,4,FALSE)</f>
        <v>59452.457793380141</v>
      </c>
      <c r="Y35" s="253">
        <v>57143.251491131959</v>
      </c>
      <c r="Z35" s="252" t="s">
        <v>272</v>
      </c>
      <c r="AA35" s="252" t="s">
        <v>272</v>
      </c>
      <c r="AB35" s="173">
        <f t="shared" si="5"/>
        <v>0.97955575789158023</v>
      </c>
      <c r="AC35" s="172" t="e">
        <f>VLOOKUP($B35,#REF!,3,FALSE)</f>
        <v>#REF!</v>
      </c>
      <c r="AD35" s="172" t="e">
        <f>VLOOKUP($B35,#REF!,5,FALSE)</f>
        <v>#REF!</v>
      </c>
      <c r="AE35" s="172" t="e">
        <f>VLOOKUP($B35,#REF!,6,FALSE)</f>
        <v>#REF!</v>
      </c>
      <c r="AF35" s="173" t="e">
        <f t="shared" si="6"/>
        <v>#REF!</v>
      </c>
      <c r="AG35" s="172" t="e">
        <f t="shared" si="54"/>
        <v>#REF!</v>
      </c>
      <c r="AH35" s="173" t="e">
        <f t="shared" si="7"/>
        <v>#REF!</v>
      </c>
      <c r="AI35" s="173" t="e">
        <f t="shared" si="8"/>
        <v>#REF!</v>
      </c>
      <c r="AJ35" s="189">
        <v>53694.953206371218</v>
      </c>
      <c r="AK35" s="189">
        <f>VLOOKUP($B35,'Average RAS salary'!$A$5:$D$62,4,FALSE)</f>
        <v>59452.457793380141</v>
      </c>
      <c r="AL35" s="189">
        <f t="shared" si="55"/>
        <v>5757.5045870089234</v>
      </c>
      <c r="AM35" s="173">
        <f t="shared" si="56"/>
        <v>0.10722617756794622</v>
      </c>
      <c r="AN35" s="189" t="e">
        <f t="shared" si="57"/>
        <v>#REF!</v>
      </c>
      <c r="AO35" s="189" t="e">
        <f t="shared" si="58"/>
        <v>#REF!</v>
      </c>
      <c r="AP35" s="189" t="e">
        <f t="shared" si="59"/>
        <v>#REF!</v>
      </c>
      <c r="AQ35" s="189" t="e">
        <f t="shared" si="135"/>
        <v>#REF!</v>
      </c>
      <c r="AR35" s="189" t="e">
        <f t="shared" si="60"/>
        <v>#REF!</v>
      </c>
      <c r="AS35" s="189" t="e">
        <f t="shared" si="9"/>
        <v>#REF!</v>
      </c>
      <c r="AT35" s="213" t="e">
        <f t="shared" si="61"/>
        <v>#REF!</v>
      </c>
      <c r="AU35" s="173" t="e">
        <f t="shared" si="62"/>
        <v>#REF!</v>
      </c>
      <c r="AV35" s="189"/>
      <c r="AW35" s="189">
        <f>VLOOKUP($B35,'Average RAS salary'!$A$5:$D$62,4,FALSE)</f>
        <v>59452.457793380141</v>
      </c>
      <c r="AX35" s="189" t="e">
        <f t="shared" si="10"/>
        <v>#REF!</v>
      </c>
      <c r="AY35" s="189">
        <v>50069.273719054363</v>
      </c>
      <c r="AZ35" s="189" t="e">
        <f t="shared" si="11"/>
        <v>#REF!</v>
      </c>
      <c r="BA35" s="189" t="e">
        <f t="shared" si="63"/>
        <v>#REF!</v>
      </c>
      <c r="BB35" s="189" t="e">
        <f t="shared" si="64"/>
        <v>#REF!</v>
      </c>
      <c r="BC35" s="189" t="e">
        <f t="shared" si="65"/>
        <v>#REF!</v>
      </c>
      <c r="BD35" s="213">
        <f t="shared" si="66"/>
        <v>-9383.1840743257781</v>
      </c>
      <c r="BE35" s="173">
        <f t="shared" si="67"/>
        <v>-0.15782668072253472</v>
      </c>
      <c r="BF35" s="189"/>
      <c r="BG35" s="189">
        <f>VLOOKUP($B35,'Average RAS salary'!$A$5:$D$62,4,FALSE)</f>
        <v>59452.457793380141</v>
      </c>
      <c r="BH35" s="189" t="e">
        <f t="shared" si="68"/>
        <v>#REF!</v>
      </c>
      <c r="BI35" s="189" t="e">
        <f>$BG$65*#REF!</f>
        <v>#REF!</v>
      </c>
      <c r="BJ35" s="189" t="e">
        <f t="shared" si="69"/>
        <v>#REF!</v>
      </c>
      <c r="BK35" s="189" t="e">
        <f t="shared" si="12"/>
        <v>#REF!</v>
      </c>
      <c r="BL35" s="189" t="e">
        <f t="shared" si="13"/>
        <v>#REF!</v>
      </c>
      <c r="BM35" s="189" t="e">
        <f t="shared" si="70"/>
        <v>#REF!</v>
      </c>
      <c r="BN35" s="213" t="e">
        <f t="shared" si="71"/>
        <v>#REF!</v>
      </c>
      <c r="BO35" s="173" t="e">
        <f t="shared" si="72"/>
        <v>#REF!</v>
      </c>
      <c r="BP35" s="189"/>
      <c r="BQ35" s="189">
        <f>VLOOKUP($B35,'Average RAS salary'!$A$5:$D$62,4,FALSE)</f>
        <v>59452.457793380141</v>
      </c>
      <c r="BR35" s="189" t="e">
        <f t="shared" si="73"/>
        <v>#REF!</v>
      </c>
      <c r="BS35" s="189" t="e">
        <f>VLOOKUP($B35,#REF!,19,FALSE)*$BQ$65</f>
        <v>#REF!</v>
      </c>
      <c r="BT35" s="189" t="e">
        <f t="shared" si="74"/>
        <v>#REF!</v>
      </c>
      <c r="BU35" s="189" t="e">
        <f t="shared" si="75"/>
        <v>#REF!</v>
      </c>
      <c r="BV35" s="189" t="e">
        <f t="shared" si="76"/>
        <v>#REF!</v>
      </c>
      <c r="BW35" s="189" t="e">
        <f t="shared" si="77"/>
        <v>#REF!</v>
      </c>
      <c r="BX35" s="213" t="e">
        <f t="shared" si="78"/>
        <v>#REF!</v>
      </c>
      <c r="BY35" s="173" t="e">
        <f t="shared" si="79"/>
        <v>#REF!</v>
      </c>
      <c r="BZ35" s="189"/>
      <c r="CA35" s="189">
        <f>VLOOKUP($B35,'Average RAS salary'!$A$5:$D$62,4,FALSE)</f>
        <v>59452.457793380141</v>
      </c>
      <c r="CB35" s="189" t="e">
        <f t="shared" si="80"/>
        <v>#REF!</v>
      </c>
      <c r="CC35" s="189" t="e">
        <f>IF(VLOOKUP($B35,#REF!,7,FALSE)&gt;VLOOKUP($B35,#REF!,19,FALSE)*$CA$65,VLOOKUP($B35,#REF!,19,FALSE)*$CA$65,VLOOKUP($B35,#REF!,7,FALSE))</f>
        <v>#REF!</v>
      </c>
      <c r="CD35" s="189" t="e">
        <f t="shared" si="81"/>
        <v>#REF!</v>
      </c>
      <c r="CE35" s="189" t="e">
        <f t="shared" si="82"/>
        <v>#REF!</v>
      </c>
      <c r="CF35" s="189" t="e">
        <f t="shared" si="83"/>
        <v>#REF!</v>
      </c>
      <c r="CG35" s="189" t="e">
        <f t="shared" si="84"/>
        <v>#REF!</v>
      </c>
      <c r="CH35" s="213" t="e">
        <f t="shared" si="85"/>
        <v>#REF!</v>
      </c>
      <c r="CI35" s="173" t="e">
        <f t="shared" si="86"/>
        <v>#REF!</v>
      </c>
      <c r="CJ35" s="189"/>
      <c r="CK35" s="189">
        <f>VLOOKUP($B35,'Average RAS salary'!$A$5:$D$62,4,FALSE)</f>
        <v>59452.457793380141</v>
      </c>
      <c r="CL35" s="189" t="e">
        <f t="shared" si="87"/>
        <v>#REF!</v>
      </c>
      <c r="CM35" s="189" t="e">
        <f>IF($AY35&gt;VLOOKUP($B35,#REF!,19,FALSE)*$CK$65,VLOOKUP($B35,#REF!,19,FALSE)*$CK$65,$AY35)</f>
        <v>#REF!</v>
      </c>
      <c r="CN35" s="189" t="e">
        <f t="shared" si="88"/>
        <v>#REF!</v>
      </c>
      <c r="CO35" s="189" t="e">
        <f t="shared" si="89"/>
        <v>#REF!</v>
      </c>
      <c r="CP35" s="189" t="e">
        <f t="shared" si="90"/>
        <v>#REF!</v>
      </c>
      <c r="CQ35" s="189" t="e">
        <f t="shared" si="91"/>
        <v>#REF!</v>
      </c>
      <c r="CR35" s="213" t="e">
        <f t="shared" si="92"/>
        <v>#REF!</v>
      </c>
      <c r="CS35" s="173" t="e">
        <f t="shared" si="93"/>
        <v>#REF!</v>
      </c>
      <c r="CT35" s="1"/>
      <c r="CU35" s="254">
        <v>0.36843734658298483</v>
      </c>
      <c r="CV35" s="252">
        <v>12525.328739340863</v>
      </c>
      <c r="CW35" s="254">
        <v>0.3827079609468314</v>
      </c>
      <c r="CX35" s="255">
        <v>11199.720000000001</v>
      </c>
      <c r="CY35" s="190" t="e">
        <f>VLOOKUP($B35,#REF!,13,FALSE)</f>
        <v>#REF!</v>
      </c>
      <c r="CZ35" s="172" t="e">
        <f>VLOOKUP($B35,#REF!,14,FALSE)</f>
        <v>#REF!</v>
      </c>
      <c r="DA35" s="190" t="e">
        <f>VLOOKUP($B35,#REF!,15,FALSE)</f>
        <v>#REF!</v>
      </c>
      <c r="DB35" s="189" t="e">
        <f>VLOOKUP($B35,#REF!,16,FALSE)</f>
        <v>#REF!</v>
      </c>
      <c r="DC35" s="190" t="e">
        <f t="shared" si="94"/>
        <v>#REF!</v>
      </c>
      <c r="DD35" s="190" t="e">
        <f t="shared" si="95"/>
        <v>#REF!</v>
      </c>
      <c r="DE35" s="190" t="e">
        <f t="shared" si="96"/>
        <v>#REF!</v>
      </c>
      <c r="DF35" s="190" t="e">
        <f t="shared" si="97"/>
        <v>#REF!</v>
      </c>
      <c r="DG35" s="1"/>
      <c r="DH35" s="253" t="s">
        <v>272</v>
      </c>
      <c r="DI35" s="253">
        <v>0</v>
      </c>
      <c r="DJ35" s="173">
        <f t="shared" si="98"/>
        <v>0</v>
      </c>
      <c r="DK35" s="172" t="e">
        <f>IF(VLOOKUP($B35,#REF!,6,FALSE)="Y","Yes","")</f>
        <v>#REF!</v>
      </c>
      <c r="DL35" s="172" t="e">
        <f>VLOOKUP($B35,#REF!,4,FALSE)</f>
        <v>#REF!</v>
      </c>
      <c r="DM35" s="173" t="e">
        <f t="shared" si="15"/>
        <v>#REF!</v>
      </c>
      <c r="DN35" s="1"/>
      <c r="DO35" s="172">
        <f t="shared" si="99"/>
        <v>5266676.2771302313</v>
      </c>
      <c r="DP35" s="252">
        <v>5080695.0466093868</v>
      </c>
      <c r="DQ35" s="172">
        <f t="shared" si="100"/>
        <v>-185981.23052084446</v>
      </c>
      <c r="DR35" s="173">
        <f t="shared" si="16"/>
        <v>-3.531282743320311E-2</v>
      </c>
      <c r="DS35" s="172">
        <f t="shared" si="101"/>
        <v>5080695.0466093868</v>
      </c>
      <c r="DT35" s="252">
        <v>5174307.0261044186</v>
      </c>
      <c r="DU35" s="172">
        <f t="shared" si="102"/>
        <v>93611.979495031759</v>
      </c>
      <c r="DV35" s="173">
        <f t="shared" si="103"/>
        <v>1.777439405218962E-2</v>
      </c>
      <c r="DW35" s="172">
        <f t="shared" si="104"/>
        <v>5174307.0261044186</v>
      </c>
      <c r="DX35" s="252">
        <v>5218089.4073168356</v>
      </c>
      <c r="DY35" s="172">
        <f t="shared" si="105"/>
        <v>43782.381212417036</v>
      </c>
      <c r="DZ35" s="173">
        <f t="shared" si="106"/>
        <v>8.3130951872883475E-3</v>
      </c>
      <c r="EA35" s="172">
        <f t="shared" si="107"/>
        <v>5218089.4073168356</v>
      </c>
      <c r="EB35" s="252">
        <v>5234240.0546686798</v>
      </c>
      <c r="EC35" s="172">
        <f t="shared" si="108"/>
        <v>16150.647351844236</v>
      </c>
      <c r="ED35" s="173">
        <f t="shared" si="109"/>
        <v>3.0665730153144311E-3</v>
      </c>
      <c r="EE35" s="172">
        <f t="shared" si="110"/>
        <v>5234240.0546686798</v>
      </c>
      <c r="EF35" s="252">
        <v>5266933.2086832728</v>
      </c>
      <c r="EG35" s="172">
        <f t="shared" si="111"/>
        <v>32693.15401459299</v>
      </c>
      <c r="EH35" s="173">
        <f t="shared" si="112"/>
        <v>6.207549561486855E-3</v>
      </c>
      <c r="EI35" s="172">
        <f t="shared" si="113"/>
        <v>5266933.2086832728</v>
      </c>
      <c r="EJ35" s="252">
        <v>5266676.2771302313</v>
      </c>
      <c r="EK35" s="172">
        <f t="shared" si="114"/>
        <v>-256.93155304156244</v>
      </c>
      <c r="EL35" s="173">
        <f t="shared" si="115"/>
        <v>-4.8784383076144244E-5</v>
      </c>
      <c r="EM35" s="172">
        <f t="shared" si="116"/>
        <v>0</v>
      </c>
      <c r="EN35" s="173">
        <f t="shared" si="17"/>
        <v>0</v>
      </c>
      <c r="EO35" s="214"/>
      <c r="EP35" s="273">
        <v>2955580.6138647124</v>
      </c>
      <c r="EQ35" s="273">
        <v>2955580.6138647124</v>
      </c>
      <c r="ER35" s="172">
        <f t="shared" si="117"/>
        <v>0</v>
      </c>
      <c r="ES35" s="173">
        <f t="shared" si="18"/>
        <v>0</v>
      </c>
      <c r="ET35" s="273">
        <v>1712536.0863663624</v>
      </c>
      <c r="EU35" s="273">
        <v>1712536.0863663624</v>
      </c>
      <c r="EV35" s="172">
        <f t="shared" si="118"/>
        <v>0</v>
      </c>
      <c r="EW35" s="173">
        <f t="shared" si="19"/>
        <v>0</v>
      </c>
      <c r="EX35" s="273">
        <v>1047056.5</v>
      </c>
      <c r="EY35" s="273">
        <v>1047056.5</v>
      </c>
      <c r="EZ35" s="172">
        <f t="shared" si="119"/>
        <v>0</v>
      </c>
      <c r="FA35" s="173">
        <f t="shared" si="20"/>
        <v>0</v>
      </c>
      <c r="FB35" s="172">
        <f t="shared" si="120"/>
        <v>2955580.6138647124</v>
      </c>
      <c r="FC35" s="273">
        <v>3018459.2642909647</v>
      </c>
      <c r="FD35" s="172">
        <f t="shared" si="121"/>
        <v>62878.650426252279</v>
      </c>
      <c r="FE35" s="173">
        <f t="shared" si="21"/>
        <v>2.1274550973601175E-2</v>
      </c>
      <c r="FF35" s="172">
        <f t="shared" si="122"/>
        <v>1712536.0863663624</v>
      </c>
      <c r="FG35" s="273">
        <v>1735920.5115064406</v>
      </c>
      <c r="FH35" s="172">
        <f t="shared" si="123"/>
        <v>23384.42514007818</v>
      </c>
      <c r="FI35" s="173">
        <f t="shared" si="22"/>
        <v>1.3654851028392026E-2</v>
      </c>
      <c r="FJ35" s="172">
        <f t="shared" si="124"/>
        <v>3018459.2642909647</v>
      </c>
      <c r="FK35" s="273">
        <v>3056529.7638998968</v>
      </c>
      <c r="FL35" s="172">
        <f t="shared" si="125"/>
        <v>38070.499608932063</v>
      </c>
      <c r="FM35" s="173">
        <f t="shared" si="23"/>
        <v>1.2612560341401464E-2</v>
      </c>
      <c r="FN35" s="172">
        <f t="shared" si="126"/>
        <v>1735920.5115064406</v>
      </c>
      <c r="FO35" s="273">
        <v>1750049.845041363</v>
      </c>
      <c r="FP35" s="172">
        <f t="shared" si="127"/>
        <v>14129.333534922451</v>
      </c>
      <c r="FQ35" s="173">
        <f t="shared" si="24"/>
        <v>8.1393897020439858E-3</v>
      </c>
      <c r="FR35" s="172">
        <f t="shared" si="128"/>
        <v>1750049.845041363</v>
      </c>
      <c r="FS35" s="273">
        <v>1854575.4426052161</v>
      </c>
      <c r="FT35" s="172">
        <f t="shared" si="129"/>
        <v>104525.59756385302</v>
      </c>
      <c r="FU35" s="173">
        <f t="shared" si="25"/>
        <v>5.9727211690580463E-2</v>
      </c>
      <c r="FV35" s="172">
        <f t="shared" si="26"/>
        <v>1047056.5</v>
      </c>
      <c r="FW35" s="273">
        <v>1137793</v>
      </c>
      <c r="FX35" s="172">
        <f t="shared" si="130"/>
        <v>90736.5</v>
      </c>
      <c r="FY35" s="173">
        <f t="shared" si="27"/>
        <v>8.6658647360481497E-2</v>
      </c>
      <c r="FZ35" s="214"/>
      <c r="GA35" s="172">
        <f t="shared" si="28"/>
        <v>2955580.6138647124</v>
      </c>
      <c r="GB35" s="172">
        <f t="shared" si="29"/>
        <v>0</v>
      </c>
      <c r="GC35" s="172">
        <f t="shared" si="30"/>
        <v>62878.650426252279</v>
      </c>
      <c r="GD35" s="172">
        <f t="shared" si="31"/>
        <v>38070.499608932063</v>
      </c>
      <c r="GE35" s="172">
        <f t="shared" si="32"/>
        <v>100949.15003518434</v>
      </c>
      <c r="GF35" s="172">
        <f t="shared" si="33"/>
        <v>3056529.7638998968</v>
      </c>
      <c r="GG35" s="173">
        <f t="shared" si="34"/>
        <v>3.4155437872893407E-2</v>
      </c>
      <c r="GH35" s="244"/>
      <c r="GI35" s="172">
        <f t="shared" si="35"/>
        <v>1712536.0863663624</v>
      </c>
      <c r="GJ35" s="172">
        <f t="shared" si="36"/>
        <v>0</v>
      </c>
      <c r="GK35" s="172">
        <f t="shared" si="37"/>
        <v>23384.42514007818</v>
      </c>
      <c r="GL35" s="172">
        <f t="shared" si="38"/>
        <v>14129.333534922451</v>
      </c>
      <c r="GM35" s="172">
        <f t="shared" si="39"/>
        <v>104525.59756385302</v>
      </c>
      <c r="GN35" s="172">
        <f t="shared" si="40"/>
        <v>142039.35623885365</v>
      </c>
      <c r="GO35" s="172">
        <f t="shared" si="41"/>
        <v>1854575.4426052161</v>
      </c>
      <c r="GP35" s="173">
        <f t="shared" si="42"/>
        <v>8.2940942015552493E-2</v>
      </c>
      <c r="GQ35" s="214"/>
      <c r="GR35" s="172">
        <f t="shared" si="43"/>
        <v>1047056.5</v>
      </c>
      <c r="GS35" s="172">
        <f t="shared" si="44"/>
        <v>0</v>
      </c>
      <c r="GT35" s="172">
        <f t="shared" si="45"/>
        <v>90736.5</v>
      </c>
      <c r="GU35" s="172">
        <f t="shared" si="131"/>
        <v>90736.5</v>
      </c>
      <c r="GV35" s="172">
        <f t="shared" si="132"/>
        <v>1137793</v>
      </c>
      <c r="GW35" s="173">
        <f t="shared" si="133"/>
        <v>8.6658647360481497E-2</v>
      </c>
      <c r="GX35" s="214"/>
      <c r="GY35" s="273">
        <v>-448496.92310084391</v>
      </c>
      <c r="GZ35" s="172" t="e">
        <f t="shared" si="134"/>
        <v>#REF!</v>
      </c>
      <c r="HA35" s="172" t="e">
        <f>-VLOOKUP($B35,#REF!,23,FALSE)</f>
        <v>#REF!</v>
      </c>
    </row>
    <row r="36" spans="1:209" ht="15" customHeight="1" x14ac:dyDescent="0.45">
      <c r="A36" s="148">
        <v>4</v>
      </c>
      <c r="B36" s="215" t="s">
        <v>55</v>
      </c>
      <c r="C36" s="172">
        <v>122983490.20381486</v>
      </c>
      <c r="D36" s="173">
        <f t="shared" si="0"/>
        <v>8.537627050886662E-2</v>
      </c>
      <c r="E36" s="1"/>
      <c r="F36" s="252">
        <v>168407954.84397456</v>
      </c>
      <c r="G36" s="173">
        <f t="shared" si="1"/>
        <v>7.165928489602226E-2</v>
      </c>
      <c r="H36" s="173">
        <f t="shared" si="46"/>
        <v>0.83933491670358451</v>
      </c>
      <c r="I36" s="172" t="e">
        <f>VLOOKUP($B36,#REF!,24,FALSE)</f>
        <v>#REF!</v>
      </c>
      <c r="J36" s="173" t="e">
        <f t="shared" si="2"/>
        <v>#REF!</v>
      </c>
      <c r="K36" s="173" t="e">
        <f t="shared" si="47"/>
        <v>#REF!</v>
      </c>
      <c r="L36" s="172" t="e">
        <f t="shared" si="48"/>
        <v>#REF!</v>
      </c>
      <c r="M36" s="173" t="e">
        <f t="shared" si="49"/>
        <v>#REF!</v>
      </c>
      <c r="N36" s="173" t="e">
        <f t="shared" si="50"/>
        <v>#REF!</v>
      </c>
      <c r="O36" s="176"/>
      <c r="P36" s="253">
        <v>1242</v>
      </c>
      <c r="Q36" s="173">
        <f t="shared" si="3"/>
        <v>6.9084436533540988E-2</v>
      </c>
      <c r="R36" s="172" t="e">
        <f>VLOOKUP($B36,#REF!,4,FALSE)</f>
        <v>#REF!</v>
      </c>
      <c r="S36" s="173" t="e">
        <f t="shared" si="4"/>
        <v>#REF!</v>
      </c>
      <c r="T36" s="172" t="e">
        <f t="shared" si="51"/>
        <v>#REF!</v>
      </c>
      <c r="U36" s="173" t="e">
        <f t="shared" si="52"/>
        <v>#REF!</v>
      </c>
      <c r="V36" s="173" t="e">
        <f t="shared" si="53"/>
        <v>#REF!</v>
      </c>
      <c r="W36" s="1"/>
      <c r="X36" s="189">
        <f>VLOOKUP($B36,'Average RAS salary'!$A$5:$D$62,4,FALSE)</f>
        <v>70331.425609010112</v>
      </c>
      <c r="Y36" s="253">
        <v>75620.547283363107</v>
      </c>
      <c r="Z36" s="252" t="s">
        <v>272</v>
      </c>
      <c r="AA36" s="252" t="s">
        <v>272</v>
      </c>
      <c r="AB36" s="173">
        <f t="shared" si="5"/>
        <v>1.2962955480023117</v>
      </c>
      <c r="AC36" s="172" t="e">
        <f>VLOOKUP($B36,#REF!,3,FALSE)</f>
        <v>#REF!</v>
      </c>
      <c r="AD36" s="172" t="e">
        <f>VLOOKUP($B36,#REF!,5,FALSE)</f>
        <v>#REF!</v>
      </c>
      <c r="AE36" s="172" t="e">
        <f>VLOOKUP($B36,#REF!,6,FALSE)</f>
        <v>#REF!</v>
      </c>
      <c r="AF36" s="173" t="e">
        <f t="shared" si="6"/>
        <v>#REF!</v>
      </c>
      <c r="AG36" s="172" t="e">
        <f t="shared" si="54"/>
        <v>#REF!</v>
      </c>
      <c r="AH36" s="173" t="e">
        <f t="shared" si="7"/>
        <v>#REF!</v>
      </c>
      <c r="AI36" s="173" t="e">
        <f t="shared" si="8"/>
        <v>#REF!</v>
      </c>
      <c r="AJ36" s="189">
        <v>69661.161770090795</v>
      </c>
      <c r="AK36" s="189">
        <f>VLOOKUP($B36,'Average RAS salary'!$A$5:$D$62,4,FALSE)</f>
        <v>70331.425609010112</v>
      </c>
      <c r="AL36" s="189">
        <f t="shared" si="55"/>
        <v>670.26383891931619</v>
      </c>
      <c r="AM36" s="173">
        <f t="shared" si="56"/>
        <v>9.6217723317829559E-3</v>
      </c>
      <c r="AN36" s="189" t="e">
        <f t="shared" si="57"/>
        <v>#REF!</v>
      </c>
      <c r="AO36" s="189" t="e">
        <f t="shared" si="58"/>
        <v>#REF!</v>
      </c>
      <c r="AP36" s="189" t="e">
        <f t="shared" si="59"/>
        <v>#REF!</v>
      </c>
      <c r="AQ36" s="189" t="e">
        <f t="shared" si="135"/>
        <v>#REF!</v>
      </c>
      <c r="AR36" s="189" t="e">
        <f t="shared" si="60"/>
        <v>#REF!</v>
      </c>
      <c r="AS36" s="189" t="e">
        <f t="shared" si="9"/>
        <v>#REF!</v>
      </c>
      <c r="AT36" s="213" t="e">
        <f t="shared" si="61"/>
        <v>#REF!</v>
      </c>
      <c r="AU36" s="173" t="e">
        <f t="shared" si="62"/>
        <v>#REF!</v>
      </c>
      <c r="AV36" s="189"/>
      <c r="AW36" s="189">
        <f>VLOOKUP($B36,'Average RAS salary'!$A$5:$D$62,4,FALSE)</f>
        <v>70331.425609010112</v>
      </c>
      <c r="AX36" s="189" t="e">
        <f t="shared" si="10"/>
        <v>#REF!</v>
      </c>
      <c r="AY36" s="189">
        <v>67223.442761852581</v>
      </c>
      <c r="AZ36" s="189" t="e">
        <f t="shared" si="11"/>
        <v>#REF!</v>
      </c>
      <c r="BA36" s="189" t="e">
        <f t="shared" si="63"/>
        <v>#REF!</v>
      </c>
      <c r="BB36" s="189" t="e">
        <f t="shared" si="64"/>
        <v>#REF!</v>
      </c>
      <c r="BC36" s="189" t="e">
        <f t="shared" si="65"/>
        <v>#REF!</v>
      </c>
      <c r="BD36" s="213">
        <f t="shared" si="66"/>
        <v>-3107.9828471575311</v>
      </c>
      <c r="BE36" s="173">
        <f t="shared" si="67"/>
        <v>-4.4190528206204449E-2</v>
      </c>
      <c r="BF36" s="189"/>
      <c r="BG36" s="189">
        <f>VLOOKUP($B36,'Average RAS salary'!$A$5:$D$62,4,FALSE)</f>
        <v>70331.425609010112</v>
      </c>
      <c r="BH36" s="189" t="e">
        <f t="shared" si="68"/>
        <v>#REF!</v>
      </c>
      <c r="BI36" s="189" t="e">
        <f>$BG$65*#REF!</f>
        <v>#REF!</v>
      </c>
      <c r="BJ36" s="189" t="e">
        <f t="shared" si="69"/>
        <v>#REF!</v>
      </c>
      <c r="BK36" s="189" t="e">
        <f t="shared" si="12"/>
        <v>#REF!</v>
      </c>
      <c r="BL36" s="189" t="e">
        <f t="shared" si="13"/>
        <v>#REF!</v>
      </c>
      <c r="BM36" s="189" t="e">
        <f t="shared" si="70"/>
        <v>#REF!</v>
      </c>
      <c r="BN36" s="213" t="e">
        <f t="shared" si="71"/>
        <v>#REF!</v>
      </c>
      <c r="BO36" s="173" t="e">
        <f t="shared" si="72"/>
        <v>#REF!</v>
      </c>
      <c r="BP36" s="189"/>
      <c r="BQ36" s="189">
        <f>VLOOKUP($B36,'Average RAS salary'!$A$5:$D$62,4,FALSE)</f>
        <v>70331.425609010112</v>
      </c>
      <c r="BR36" s="189" t="e">
        <f t="shared" si="73"/>
        <v>#REF!</v>
      </c>
      <c r="BS36" s="189" t="e">
        <f>VLOOKUP($B36,#REF!,19,FALSE)*$BQ$65</f>
        <v>#REF!</v>
      </c>
      <c r="BT36" s="189" t="e">
        <f t="shared" si="74"/>
        <v>#REF!</v>
      </c>
      <c r="BU36" s="189" t="e">
        <f t="shared" si="75"/>
        <v>#REF!</v>
      </c>
      <c r="BV36" s="189" t="e">
        <f t="shared" si="76"/>
        <v>#REF!</v>
      </c>
      <c r="BW36" s="189" t="e">
        <f t="shared" si="77"/>
        <v>#REF!</v>
      </c>
      <c r="BX36" s="213" t="e">
        <f t="shared" si="78"/>
        <v>#REF!</v>
      </c>
      <c r="BY36" s="173" t="e">
        <f t="shared" si="79"/>
        <v>#REF!</v>
      </c>
      <c r="BZ36" s="189"/>
      <c r="CA36" s="189">
        <f>VLOOKUP($B36,'Average RAS salary'!$A$5:$D$62,4,FALSE)</f>
        <v>70331.425609010112</v>
      </c>
      <c r="CB36" s="189" t="e">
        <f t="shared" si="80"/>
        <v>#REF!</v>
      </c>
      <c r="CC36" s="189" t="e">
        <f>IF(VLOOKUP($B36,#REF!,7,FALSE)&gt;VLOOKUP($B36,#REF!,19,FALSE)*$CA$65,VLOOKUP($B36,#REF!,19,FALSE)*$CA$65,VLOOKUP($B36,#REF!,7,FALSE))</f>
        <v>#REF!</v>
      </c>
      <c r="CD36" s="189" t="e">
        <f t="shared" si="81"/>
        <v>#REF!</v>
      </c>
      <c r="CE36" s="189" t="e">
        <f t="shared" si="82"/>
        <v>#REF!</v>
      </c>
      <c r="CF36" s="189" t="e">
        <f t="shared" si="83"/>
        <v>#REF!</v>
      </c>
      <c r="CG36" s="189" t="e">
        <f t="shared" si="84"/>
        <v>#REF!</v>
      </c>
      <c r="CH36" s="213" t="e">
        <f t="shared" si="85"/>
        <v>#REF!</v>
      </c>
      <c r="CI36" s="173" t="e">
        <f t="shared" si="86"/>
        <v>#REF!</v>
      </c>
      <c r="CJ36" s="189"/>
      <c r="CK36" s="189">
        <f>VLOOKUP($B36,'Average RAS salary'!$A$5:$D$62,4,FALSE)</f>
        <v>70331.425609010112</v>
      </c>
      <c r="CL36" s="189" t="e">
        <f t="shared" si="87"/>
        <v>#REF!</v>
      </c>
      <c r="CM36" s="189" t="e">
        <f>IF($AY36&gt;VLOOKUP($B36,#REF!,19,FALSE)*$CK$65,VLOOKUP($B36,#REF!,19,FALSE)*$CK$65,$AY36)</f>
        <v>#REF!</v>
      </c>
      <c r="CN36" s="189" t="e">
        <f t="shared" si="88"/>
        <v>#REF!</v>
      </c>
      <c r="CO36" s="189" t="e">
        <f t="shared" si="89"/>
        <v>#REF!</v>
      </c>
      <c r="CP36" s="189" t="e">
        <f t="shared" si="90"/>
        <v>#REF!</v>
      </c>
      <c r="CQ36" s="189" t="e">
        <f t="shared" si="91"/>
        <v>#REF!</v>
      </c>
      <c r="CR36" s="213" t="e">
        <f t="shared" si="92"/>
        <v>#REF!</v>
      </c>
      <c r="CS36" s="173" t="e">
        <f t="shared" si="93"/>
        <v>#REF!</v>
      </c>
      <c r="CT36" s="1"/>
      <c r="CU36" s="254">
        <v>0.37582966538578522</v>
      </c>
      <c r="CV36" s="252">
        <v>11870.451291649882</v>
      </c>
      <c r="CW36" s="254">
        <v>0.37306835689226292</v>
      </c>
      <c r="CX36" s="255">
        <v>13209.357990007878</v>
      </c>
      <c r="CY36" s="190" t="e">
        <f>VLOOKUP($B36,#REF!,13,FALSE)</f>
        <v>#REF!</v>
      </c>
      <c r="CZ36" s="172" t="e">
        <f>VLOOKUP($B36,#REF!,14,FALSE)</f>
        <v>#REF!</v>
      </c>
      <c r="DA36" s="190" t="e">
        <f>VLOOKUP($B36,#REF!,15,FALSE)</f>
        <v>#REF!</v>
      </c>
      <c r="DB36" s="189" t="e">
        <f>VLOOKUP($B36,#REF!,16,FALSE)</f>
        <v>#REF!</v>
      </c>
      <c r="DC36" s="190" t="e">
        <f t="shared" si="94"/>
        <v>#REF!</v>
      </c>
      <c r="DD36" s="190" t="e">
        <f t="shared" si="95"/>
        <v>#REF!</v>
      </c>
      <c r="DE36" s="190" t="e">
        <f t="shared" si="96"/>
        <v>#REF!</v>
      </c>
      <c r="DF36" s="190" t="e">
        <f t="shared" si="97"/>
        <v>#REF!</v>
      </c>
      <c r="DG36" s="1"/>
      <c r="DH36" s="253" t="s">
        <v>272</v>
      </c>
      <c r="DI36" s="253">
        <v>0</v>
      </c>
      <c r="DJ36" s="173">
        <f t="shared" si="98"/>
        <v>0</v>
      </c>
      <c r="DK36" s="172" t="e">
        <f>IF(VLOOKUP($B36,#REF!,6,FALSE)="Y","Yes","")</f>
        <v>#REF!</v>
      </c>
      <c r="DL36" s="172" t="e">
        <f>VLOOKUP($B36,#REF!,4,FALSE)</f>
        <v>#REF!</v>
      </c>
      <c r="DM36" s="173" t="e">
        <f t="shared" si="15"/>
        <v>#REF!</v>
      </c>
      <c r="DN36" s="1"/>
      <c r="DO36" s="172">
        <f t="shared" si="99"/>
        <v>168407954.84397456</v>
      </c>
      <c r="DP36" s="252">
        <v>164142461.38196456</v>
      </c>
      <c r="DQ36" s="172">
        <f t="shared" si="100"/>
        <v>-4265493.4620099962</v>
      </c>
      <c r="DR36" s="173">
        <f t="shared" si="16"/>
        <v>-2.5328337167694132E-2</v>
      </c>
      <c r="DS36" s="172">
        <f t="shared" si="101"/>
        <v>164142461.38196456</v>
      </c>
      <c r="DT36" s="252">
        <v>167411337.65631557</v>
      </c>
      <c r="DU36" s="172">
        <f t="shared" si="102"/>
        <v>3268876.2743510008</v>
      </c>
      <c r="DV36" s="173">
        <f t="shared" si="103"/>
        <v>1.9410462394009398E-2</v>
      </c>
      <c r="DW36" s="172">
        <f t="shared" si="104"/>
        <v>167411337.65631557</v>
      </c>
      <c r="DX36" s="252">
        <v>166953230.84089005</v>
      </c>
      <c r="DY36" s="172">
        <f t="shared" si="105"/>
        <v>-458106.81542551517</v>
      </c>
      <c r="DZ36" s="173">
        <f t="shared" si="106"/>
        <v>-2.7202207630271313E-3</v>
      </c>
      <c r="EA36" s="172">
        <f t="shared" si="107"/>
        <v>166953230.84089005</v>
      </c>
      <c r="EB36" s="252">
        <v>167451898.42933464</v>
      </c>
      <c r="EC36" s="172">
        <f t="shared" si="108"/>
        <v>498667.58844459057</v>
      </c>
      <c r="ED36" s="173">
        <f t="shared" si="109"/>
        <v>2.9610690831474835E-3</v>
      </c>
      <c r="EE36" s="172">
        <f t="shared" si="110"/>
        <v>167451898.42933464</v>
      </c>
      <c r="EF36" s="252">
        <v>168263996.37505713</v>
      </c>
      <c r="EG36" s="172">
        <f t="shared" si="111"/>
        <v>812097.94572249055</v>
      </c>
      <c r="EH36" s="173">
        <f t="shared" si="112"/>
        <v>4.8222065666368163E-3</v>
      </c>
      <c r="EI36" s="172">
        <f t="shared" si="113"/>
        <v>168263996.37505713</v>
      </c>
      <c r="EJ36" s="252">
        <v>168407954.84397456</v>
      </c>
      <c r="EK36" s="172">
        <f t="shared" si="114"/>
        <v>143958.46891742945</v>
      </c>
      <c r="EL36" s="173">
        <f t="shared" si="115"/>
        <v>8.5481988692756876E-4</v>
      </c>
      <c r="EM36" s="172">
        <f t="shared" si="116"/>
        <v>0</v>
      </c>
      <c r="EN36" s="173">
        <f t="shared" si="17"/>
        <v>0</v>
      </c>
      <c r="EO36" s="214"/>
      <c r="EP36" s="273">
        <v>94134681.233712941</v>
      </c>
      <c r="EQ36" s="273">
        <v>90958618.24781169</v>
      </c>
      <c r="ER36" s="172">
        <f t="shared" si="117"/>
        <v>-3176062.9859012514</v>
      </c>
      <c r="ES36" s="173">
        <f t="shared" si="18"/>
        <v>-3.3739562765564363E-2</v>
      </c>
      <c r="ET36" s="273">
        <v>50315491.786448196</v>
      </c>
      <c r="EU36" s="273">
        <v>48618753.76280801</v>
      </c>
      <c r="EV36" s="172">
        <f t="shared" si="118"/>
        <v>-1696738.0236401856</v>
      </c>
      <c r="EW36" s="173">
        <f t="shared" si="19"/>
        <v>-3.3721980316550923E-2</v>
      </c>
      <c r="EX36" s="273">
        <v>26008883.460000001</v>
      </c>
      <c r="EY36" s="273">
        <v>25129356</v>
      </c>
      <c r="EZ36" s="172">
        <f t="shared" si="119"/>
        <v>-879527.46000000089</v>
      </c>
      <c r="FA36" s="173">
        <f t="shared" si="20"/>
        <v>-3.3816425120772979E-2</v>
      </c>
      <c r="FB36" s="172">
        <f t="shared" si="120"/>
        <v>90958618.24781169</v>
      </c>
      <c r="FC36" s="273">
        <v>92767612.258785442</v>
      </c>
      <c r="FD36" s="172">
        <f t="shared" si="121"/>
        <v>1808994.0109737515</v>
      </c>
      <c r="FE36" s="173">
        <f t="shared" si="21"/>
        <v>1.9888099069900647E-2</v>
      </c>
      <c r="FF36" s="172">
        <f t="shared" si="122"/>
        <v>48618753.76280801</v>
      </c>
      <c r="FG36" s="273">
        <v>49297908.968318522</v>
      </c>
      <c r="FH36" s="172">
        <f t="shared" si="123"/>
        <v>679155.20551051199</v>
      </c>
      <c r="FI36" s="173">
        <f t="shared" si="22"/>
        <v>1.3968996589749011E-2</v>
      </c>
      <c r="FJ36" s="172">
        <f t="shared" si="124"/>
        <v>92767612.258785442</v>
      </c>
      <c r="FK36" s="273">
        <v>92491956.423979804</v>
      </c>
      <c r="FL36" s="172">
        <f t="shared" si="125"/>
        <v>-275655.8348056376</v>
      </c>
      <c r="FM36" s="173">
        <f t="shared" si="23"/>
        <v>-2.971466313444237E-3</v>
      </c>
      <c r="FN36" s="172">
        <f t="shared" si="126"/>
        <v>49297908.968318522</v>
      </c>
      <c r="FO36" s="273">
        <v>49194417.458575524</v>
      </c>
      <c r="FP36" s="172">
        <f t="shared" si="127"/>
        <v>-103491.50974299759</v>
      </c>
      <c r="FQ36" s="173">
        <f t="shared" si="24"/>
        <v>-2.099308305541048E-3</v>
      </c>
      <c r="FR36" s="172">
        <f t="shared" si="128"/>
        <v>49194417.458575524</v>
      </c>
      <c r="FS36" s="273">
        <v>47466772.260537952</v>
      </c>
      <c r="FT36" s="172">
        <f t="shared" si="129"/>
        <v>-1727645.1980375722</v>
      </c>
      <c r="FU36" s="173">
        <f t="shared" si="25"/>
        <v>-3.5118724588869193E-2</v>
      </c>
      <c r="FV36" s="172">
        <f t="shared" si="26"/>
        <v>25129356</v>
      </c>
      <c r="FW36" s="273">
        <v>27307032</v>
      </c>
      <c r="FX36" s="172">
        <f t="shared" si="130"/>
        <v>2177676</v>
      </c>
      <c r="FY36" s="173">
        <f t="shared" si="27"/>
        <v>8.6658647360481497E-2</v>
      </c>
      <c r="FZ36" s="214"/>
      <c r="GA36" s="172">
        <f t="shared" si="28"/>
        <v>94134681.233712941</v>
      </c>
      <c r="GB36" s="172">
        <f t="shared" si="29"/>
        <v>-3176062.9859012514</v>
      </c>
      <c r="GC36" s="172">
        <f t="shared" si="30"/>
        <v>1808994.0109737515</v>
      </c>
      <c r="GD36" s="172">
        <f t="shared" si="31"/>
        <v>-275655.8348056376</v>
      </c>
      <c r="GE36" s="172">
        <f t="shared" si="32"/>
        <v>-1642724.8097331375</v>
      </c>
      <c r="GF36" s="172">
        <f t="shared" si="33"/>
        <v>92491956.423979804</v>
      </c>
      <c r="GG36" s="173">
        <f t="shared" si="34"/>
        <v>-1.7450792717454065E-2</v>
      </c>
      <c r="GH36" s="244"/>
      <c r="GI36" s="172">
        <f t="shared" si="35"/>
        <v>50315491.786448196</v>
      </c>
      <c r="GJ36" s="172">
        <f t="shared" si="36"/>
        <v>-1696738.0236401856</v>
      </c>
      <c r="GK36" s="172">
        <f t="shared" si="37"/>
        <v>679155.20551051199</v>
      </c>
      <c r="GL36" s="172">
        <f t="shared" si="38"/>
        <v>-103491.50974299759</v>
      </c>
      <c r="GM36" s="172">
        <f t="shared" si="39"/>
        <v>-1727645.1980375722</v>
      </c>
      <c r="GN36" s="172">
        <f t="shared" si="40"/>
        <v>-2848719.5259102434</v>
      </c>
      <c r="GO36" s="172">
        <f t="shared" si="41"/>
        <v>47466772.260537952</v>
      </c>
      <c r="GP36" s="173">
        <f t="shared" si="42"/>
        <v>-5.6617145629837766E-2</v>
      </c>
      <c r="GQ36" s="214"/>
      <c r="GR36" s="172">
        <f t="shared" si="43"/>
        <v>26008883.460000001</v>
      </c>
      <c r="GS36" s="172">
        <f t="shared" si="44"/>
        <v>-879527.46000000089</v>
      </c>
      <c r="GT36" s="172">
        <f t="shared" si="45"/>
        <v>2177676</v>
      </c>
      <c r="GU36" s="172">
        <f t="shared" si="131"/>
        <v>1298148.5399999991</v>
      </c>
      <c r="GV36" s="172">
        <f t="shared" si="132"/>
        <v>27307032</v>
      </c>
      <c r="GW36" s="173">
        <f t="shared" si="133"/>
        <v>4.991173658017533E-2</v>
      </c>
      <c r="GX36" s="214"/>
      <c r="GY36" s="273">
        <v>-2051101.6361866007</v>
      </c>
      <c r="GZ36" s="172" t="e">
        <f t="shared" si="134"/>
        <v>#REF!</v>
      </c>
      <c r="HA36" s="172" t="e">
        <f>-VLOOKUP($B36,#REF!,23,FALSE)</f>
        <v>#REF!</v>
      </c>
    </row>
    <row r="37" spans="1:209" ht="15" customHeight="1" x14ac:dyDescent="0.45">
      <c r="A37" s="148">
        <v>2</v>
      </c>
      <c r="B37" s="212" t="s">
        <v>31</v>
      </c>
      <c r="C37" s="172">
        <v>11114142.2521811</v>
      </c>
      <c r="D37" s="173">
        <f t="shared" si="0"/>
        <v>7.7155398161468337E-3</v>
      </c>
      <c r="E37" s="1"/>
      <c r="F37" s="252">
        <v>21108234.593810439</v>
      </c>
      <c r="G37" s="173">
        <f t="shared" si="1"/>
        <v>8.9817669112561768E-3</v>
      </c>
      <c r="H37" s="173">
        <f t="shared" si="46"/>
        <v>1.1641138695777868</v>
      </c>
      <c r="I37" s="172" t="e">
        <f>VLOOKUP($B37,#REF!,24,FALSE)</f>
        <v>#REF!</v>
      </c>
      <c r="J37" s="173" t="e">
        <f t="shared" si="2"/>
        <v>#REF!</v>
      </c>
      <c r="K37" s="173" t="e">
        <f t="shared" si="47"/>
        <v>#REF!</v>
      </c>
      <c r="L37" s="172" t="e">
        <f t="shared" si="48"/>
        <v>#REF!</v>
      </c>
      <c r="M37" s="173" t="e">
        <f t="shared" si="49"/>
        <v>#REF!</v>
      </c>
      <c r="N37" s="173" t="e">
        <f t="shared" si="50"/>
        <v>#REF!</v>
      </c>
      <c r="O37" s="176"/>
      <c r="P37" s="253">
        <v>163</v>
      </c>
      <c r="Q37" s="173">
        <f t="shared" si="3"/>
        <v>9.0666370007787302E-3</v>
      </c>
      <c r="R37" s="172" t="e">
        <f>VLOOKUP($B37,#REF!,4,FALSE)</f>
        <v>#REF!</v>
      </c>
      <c r="S37" s="173" t="e">
        <f t="shared" si="4"/>
        <v>#REF!</v>
      </c>
      <c r="T37" s="172" t="e">
        <f t="shared" si="51"/>
        <v>#REF!</v>
      </c>
      <c r="U37" s="173" t="e">
        <f t="shared" si="52"/>
        <v>#REF!</v>
      </c>
      <c r="V37" s="173" t="e">
        <f t="shared" si="53"/>
        <v>#REF!</v>
      </c>
      <c r="W37" s="1"/>
      <c r="X37" s="189">
        <f>VLOOKUP($B37,'Average RAS salary'!$A$5:$D$62,4,FALSE)</f>
        <v>67831.289454545433</v>
      </c>
      <c r="Y37" s="253">
        <v>69509.791066582286</v>
      </c>
      <c r="Z37" s="252" t="s">
        <v>272</v>
      </c>
      <c r="AA37" s="252" t="s">
        <v>272</v>
      </c>
      <c r="AB37" s="173">
        <f t="shared" si="5"/>
        <v>1.1915443082492088</v>
      </c>
      <c r="AC37" s="172" t="e">
        <f>VLOOKUP($B37,#REF!,3,FALSE)</f>
        <v>#REF!</v>
      </c>
      <c r="AD37" s="172" t="e">
        <f>VLOOKUP($B37,#REF!,5,FALSE)</f>
        <v>#REF!</v>
      </c>
      <c r="AE37" s="172" t="e">
        <f>VLOOKUP($B37,#REF!,6,FALSE)</f>
        <v>#REF!</v>
      </c>
      <c r="AF37" s="173" t="e">
        <f t="shared" si="6"/>
        <v>#REF!</v>
      </c>
      <c r="AG37" s="172" t="e">
        <f t="shared" si="54"/>
        <v>#REF!</v>
      </c>
      <c r="AH37" s="173" t="e">
        <f t="shared" si="7"/>
        <v>#REF!</v>
      </c>
      <c r="AI37" s="173" t="e">
        <f t="shared" si="8"/>
        <v>#REF!</v>
      </c>
      <c r="AJ37" s="189">
        <v>69132.713913913889</v>
      </c>
      <c r="AK37" s="189">
        <f>VLOOKUP($B37,'Average RAS salary'!$A$5:$D$62,4,FALSE)</f>
        <v>67831.289454545433</v>
      </c>
      <c r="AL37" s="189">
        <f t="shared" si="55"/>
        <v>-1301.4244593684562</v>
      </c>
      <c r="AM37" s="173">
        <f t="shared" si="56"/>
        <v>-1.8825016199841779E-2</v>
      </c>
      <c r="AN37" s="189" t="e">
        <f t="shared" si="57"/>
        <v>#REF!</v>
      </c>
      <c r="AO37" s="189" t="e">
        <f t="shared" si="58"/>
        <v>#REF!</v>
      </c>
      <c r="AP37" s="189" t="e">
        <f t="shared" si="59"/>
        <v>#REF!</v>
      </c>
      <c r="AQ37" s="189" t="e">
        <f t="shared" si="135"/>
        <v>#REF!</v>
      </c>
      <c r="AR37" s="189" t="e">
        <f t="shared" si="60"/>
        <v>#REF!</v>
      </c>
      <c r="AS37" s="189" t="e">
        <f t="shared" si="9"/>
        <v>#REF!</v>
      </c>
      <c r="AT37" s="213" t="e">
        <f t="shared" si="61"/>
        <v>#REF!</v>
      </c>
      <c r="AU37" s="173" t="e">
        <f t="shared" si="62"/>
        <v>#REF!</v>
      </c>
      <c r="AV37" s="189"/>
      <c r="AW37" s="189">
        <f>VLOOKUP($B37,'Average RAS salary'!$A$5:$D$62,4,FALSE)</f>
        <v>67831.289454545433</v>
      </c>
      <c r="AX37" s="189" t="e">
        <f t="shared" si="10"/>
        <v>#REF!</v>
      </c>
      <c r="AY37" s="189">
        <v>60545.487960368788</v>
      </c>
      <c r="AZ37" s="189" t="e">
        <f t="shared" si="11"/>
        <v>#REF!</v>
      </c>
      <c r="BA37" s="189" t="e">
        <f t="shared" si="63"/>
        <v>#REF!</v>
      </c>
      <c r="BB37" s="189" t="e">
        <f t="shared" si="64"/>
        <v>#REF!</v>
      </c>
      <c r="BC37" s="189" t="e">
        <f t="shared" si="65"/>
        <v>#REF!</v>
      </c>
      <c r="BD37" s="213">
        <f t="shared" si="66"/>
        <v>-7285.8014941766451</v>
      </c>
      <c r="BE37" s="173">
        <f t="shared" si="67"/>
        <v>-0.10741062941253607</v>
      </c>
      <c r="BF37" s="189"/>
      <c r="BG37" s="189">
        <f>VLOOKUP($B37,'Average RAS salary'!$A$5:$D$62,4,FALSE)</f>
        <v>67831.289454545433</v>
      </c>
      <c r="BH37" s="189" t="e">
        <f t="shared" si="68"/>
        <v>#REF!</v>
      </c>
      <c r="BI37" s="189" t="e">
        <f>$BG$65*#REF!</f>
        <v>#REF!</v>
      </c>
      <c r="BJ37" s="189" t="e">
        <f t="shared" si="69"/>
        <v>#REF!</v>
      </c>
      <c r="BK37" s="189" t="e">
        <f t="shared" si="12"/>
        <v>#REF!</v>
      </c>
      <c r="BL37" s="189" t="e">
        <f t="shared" si="13"/>
        <v>#REF!</v>
      </c>
      <c r="BM37" s="189" t="e">
        <f t="shared" si="70"/>
        <v>#REF!</v>
      </c>
      <c r="BN37" s="213" t="e">
        <f t="shared" si="71"/>
        <v>#REF!</v>
      </c>
      <c r="BO37" s="173" t="e">
        <f t="shared" si="72"/>
        <v>#REF!</v>
      </c>
      <c r="BP37" s="189"/>
      <c r="BQ37" s="189">
        <f>VLOOKUP($B37,'Average RAS salary'!$A$5:$D$62,4,FALSE)</f>
        <v>67831.289454545433</v>
      </c>
      <c r="BR37" s="189" t="e">
        <f t="shared" si="73"/>
        <v>#REF!</v>
      </c>
      <c r="BS37" s="189" t="e">
        <f>VLOOKUP($B37,#REF!,19,FALSE)*$BQ$65</f>
        <v>#REF!</v>
      </c>
      <c r="BT37" s="189" t="e">
        <f t="shared" si="74"/>
        <v>#REF!</v>
      </c>
      <c r="BU37" s="189" t="e">
        <f t="shared" si="75"/>
        <v>#REF!</v>
      </c>
      <c r="BV37" s="189" t="e">
        <f t="shared" si="76"/>
        <v>#REF!</v>
      </c>
      <c r="BW37" s="189" t="e">
        <f t="shared" si="77"/>
        <v>#REF!</v>
      </c>
      <c r="BX37" s="213" t="e">
        <f t="shared" si="78"/>
        <v>#REF!</v>
      </c>
      <c r="BY37" s="173" t="e">
        <f t="shared" si="79"/>
        <v>#REF!</v>
      </c>
      <c r="BZ37" s="189"/>
      <c r="CA37" s="189">
        <f>VLOOKUP($B37,'Average RAS salary'!$A$5:$D$62,4,FALSE)</f>
        <v>67831.289454545433</v>
      </c>
      <c r="CB37" s="189" t="e">
        <f t="shared" si="80"/>
        <v>#REF!</v>
      </c>
      <c r="CC37" s="189" t="e">
        <f>IF(VLOOKUP($B37,#REF!,7,FALSE)&gt;VLOOKUP($B37,#REF!,19,FALSE)*$CA$65,VLOOKUP($B37,#REF!,19,FALSE)*$CA$65,VLOOKUP($B37,#REF!,7,FALSE))</f>
        <v>#REF!</v>
      </c>
      <c r="CD37" s="189" t="e">
        <f t="shared" si="81"/>
        <v>#REF!</v>
      </c>
      <c r="CE37" s="189" t="e">
        <f t="shared" si="82"/>
        <v>#REF!</v>
      </c>
      <c r="CF37" s="189" t="e">
        <f t="shared" si="83"/>
        <v>#REF!</v>
      </c>
      <c r="CG37" s="189" t="e">
        <f t="shared" si="84"/>
        <v>#REF!</v>
      </c>
      <c r="CH37" s="213" t="e">
        <f t="shared" si="85"/>
        <v>#REF!</v>
      </c>
      <c r="CI37" s="173" t="e">
        <f t="shared" si="86"/>
        <v>#REF!</v>
      </c>
      <c r="CJ37" s="189"/>
      <c r="CK37" s="189">
        <f>VLOOKUP($B37,'Average RAS salary'!$A$5:$D$62,4,FALSE)</f>
        <v>67831.289454545433</v>
      </c>
      <c r="CL37" s="189" t="e">
        <f t="shared" si="87"/>
        <v>#REF!</v>
      </c>
      <c r="CM37" s="189" t="e">
        <f>IF($AY37&gt;VLOOKUP($B37,#REF!,19,FALSE)*$CK$65,VLOOKUP($B37,#REF!,19,FALSE)*$CK$65,$AY37)</f>
        <v>#REF!</v>
      </c>
      <c r="CN37" s="189" t="e">
        <f t="shared" si="88"/>
        <v>#REF!</v>
      </c>
      <c r="CO37" s="189" t="e">
        <f t="shared" si="89"/>
        <v>#REF!</v>
      </c>
      <c r="CP37" s="189" t="e">
        <f t="shared" si="90"/>
        <v>#REF!</v>
      </c>
      <c r="CQ37" s="189" t="e">
        <f t="shared" si="91"/>
        <v>#REF!</v>
      </c>
      <c r="CR37" s="213" t="e">
        <f t="shared" si="92"/>
        <v>#REF!</v>
      </c>
      <c r="CS37" s="173" t="e">
        <f t="shared" si="93"/>
        <v>#REF!</v>
      </c>
      <c r="CT37" s="1"/>
      <c r="CU37" s="254">
        <v>0.30607028548495357</v>
      </c>
      <c r="CV37" s="252">
        <v>19323.000000000004</v>
      </c>
      <c r="CW37" s="254">
        <v>0.30614000005745856</v>
      </c>
      <c r="CX37" s="255">
        <v>19323</v>
      </c>
      <c r="CY37" s="190" t="e">
        <f>VLOOKUP($B37,#REF!,13,FALSE)</f>
        <v>#REF!</v>
      </c>
      <c r="CZ37" s="172" t="e">
        <f>VLOOKUP($B37,#REF!,14,FALSE)</f>
        <v>#REF!</v>
      </c>
      <c r="DA37" s="190" t="e">
        <f>VLOOKUP($B37,#REF!,15,FALSE)</f>
        <v>#REF!</v>
      </c>
      <c r="DB37" s="189" t="e">
        <f>VLOOKUP($B37,#REF!,16,FALSE)</f>
        <v>#REF!</v>
      </c>
      <c r="DC37" s="190" t="e">
        <f t="shared" si="94"/>
        <v>#REF!</v>
      </c>
      <c r="DD37" s="190" t="e">
        <f t="shared" si="95"/>
        <v>#REF!</v>
      </c>
      <c r="DE37" s="190" t="e">
        <f t="shared" si="96"/>
        <v>#REF!</v>
      </c>
      <c r="DF37" s="190" t="e">
        <f t="shared" si="97"/>
        <v>#REF!</v>
      </c>
      <c r="DG37" s="1"/>
      <c r="DH37" s="253" t="s">
        <v>272</v>
      </c>
      <c r="DI37" s="253">
        <v>0</v>
      </c>
      <c r="DJ37" s="173">
        <f t="shared" si="98"/>
        <v>0</v>
      </c>
      <c r="DK37" s="172" t="e">
        <f>IF(VLOOKUP($B37,#REF!,6,FALSE)="Y","Yes","")</f>
        <v>#REF!</v>
      </c>
      <c r="DL37" s="172" t="e">
        <f>VLOOKUP($B37,#REF!,4,FALSE)</f>
        <v>#REF!</v>
      </c>
      <c r="DM37" s="173" t="e">
        <f t="shared" si="15"/>
        <v>#REF!</v>
      </c>
      <c r="DN37" s="1"/>
      <c r="DO37" s="172">
        <f t="shared" si="99"/>
        <v>21108234.593810439</v>
      </c>
      <c r="DP37" s="252">
        <v>20293542.615007684</v>
      </c>
      <c r="DQ37" s="172">
        <f t="shared" si="100"/>
        <v>-814691.97880275548</v>
      </c>
      <c r="DR37" s="173">
        <f t="shared" si="16"/>
        <v>-3.8595931610578525E-2</v>
      </c>
      <c r="DS37" s="172">
        <f t="shared" si="101"/>
        <v>20293542.615007684</v>
      </c>
      <c r="DT37" s="252">
        <v>20651192.189607318</v>
      </c>
      <c r="DU37" s="172">
        <f t="shared" si="102"/>
        <v>357649.57459963486</v>
      </c>
      <c r="DV37" s="173">
        <f t="shared" si="103"/>
        <v>1.6943604308079289E-2</v>
      </c>
      <c r="DW37" s="172">
        <f t="shared" si="104"/>
        <v>20651192.189607318</v>
      </c>
      <c r="DX37" s="252">
        <v>20897201.434715319</v>
      </c>
      <c r="DY37" s="172">
        <f t="shared" si="105"/>
        <v>246009.24510800093</v>
      </c>
      <c r="DZ37" s="173">
        <f t="shared" si="106"/>
        <v>1.1654657523094714E-2</v>
      </c>
      <c r="EA37" s="172">
        <f t="shared" si="107"/>
        <v>20897201.434715319</v>
      </c>
      <c r="EB37" s="252">
        <v>20986043.897371747</v>
      </c>
      <c r="EC37" s="172">
        <f t="shared" si="108"/>
        <v>88842.462656427175</v>
      </c>
      <c r="ED37" s="173">
        <f t="shared" si="109"/>
        <v>4.2089006667795151E-3</v>
      </c>
      <c r="EE37" s="172">
        <f t="shared" si="110"/>
        <v>20986043.897371747</v>
      </c>
      <c r="EF37" s="252">
        <v>21092623.579459321</v>
      </c>
      <c r="EG37" s="172">
        <f t="shared" si="111"/>
        <v>106579.68208757415</v>
      </c>
      <c r="EH37" s="173">
        <f t="shared" si="112"/>
        <v>5.0491992408889788E-3</v>
      </c>
      <c r="EI37" s="172">
        <f t="shared" si="113"/>
        <v>21092623.579459321</v>
      </c>
      <c r="EJ37" s="252">
        <v>21108234.593810439</v>
      </c>
      <c r="EK37" s="172">
        <f t="shared" si="114"/>
        <v>15611.014351118356</v>
      </c>
      <c r="EL37" s="173">
        <f t="shared" si="115"/>
        <v>7.3956987173602704E-4</v>
      </c>
      <c r="EM37" s="172">
        <f t="shared" si="116"/>
        <v>0</v>
      </c>
      <c r="EN37" s="173">
        <f t="shared" si="17"/>
        <v>0</v>
      </c>
      <c r="EO37" s="214"/>
      <c r="EP37" s="273">
        <v>11449812.92129077</v>
      </c>
      <c r="EQ37" s="273">
        <v>11032754.174891278</v>
      </c>
      <c r="ER37" s="172">
        <f t="shared" si="117"/>
        <v>-417058.74639949203</v>
      </c>
      <c r="ES37" s="173">
        <f t="shared" si="18"/>
        <v>-3.6424939801765407E-2</v>
      </c>
      <c r="ET37" s="273">
        <v>6654216.3100301698</v>
      </c>
      <c r="EU37" s="273">
        <v>6410629.0204556808</v>
      </c>
      <c r="EV37" s="172">
        <f t="shared" si="118"/>
        <v>-243587.289574489</v>
      </c>
      <c r="EW37" s="173">
        <f t="shared" si="19"/>
        <v>-3.6606457954683563E-2</v>
      </c>
      <c r="EX37" s="273">
        <v>3413404.19</v>
      </c>
      <c r="EY37" s="273">
        <v>3287757.41</v>
      </c>
      <c r="EZ37" s="172">
        <f t="shared" si="119"/>
        <v>-125646.7799999998</v>
      </c>
      <c r="FA37" s="173">
        <f t="shared" si="20"/>
        <v>-3.6809815950920186E-2</v>
      </c>
      <c r="FB37" s="172">
        <f t="shared" si="120"/>
        <v>11032754.174891278</v>
      </c>
      <c r="FC37" s="273">
        <v>11256849.44874485</v>
      </c>
      <c r="FD37" s="172">
        <f t="shared" si="121"/>
        <v>224095.27385357209</v>
      </c>
      <c r="FE37" s="173">
        <f t="shared" si="21"/>
        <v>2.0311816097885679E-2</v>
      </c>
      <c r="FF37" s="172">
        <f t="shared" si="122"/>
        <v>6410629.0204556808</v>
      </c>
      <c r="FG37" s="273">
        <v>6479220.6604513675</v>
      </c>
      <c r="FH37" s="172">
        <f t="shared" si="123"/>
        <v>68591.63999568671</v>
      </c>
      <c r="FI37" s="173">
        <f t="shared" si="22"/>
        <v>1.0699673897337936E-2</v>
      </c>
      <c r="FJ37" s="172">
        <f t="shared" si="124"/>
        <v>11256849.44874485</v>
      </c>
      <c r="FK37" s="273">
        <v>11366486.724416254</v>
      </c>
      <c r="FL37" s="172">
        <f t="shared" si="125"/>
        <v>109637.27567140386</v>
      </c>
      <c r="FM37" s="173">
        <f t="shared" si="23"/>
        <v>9.7396057547548109E-3</v>
      </c>
      <c r="FN37" s="172">
        <f t="shared" si="126"/>
        <v>6479220.6604513675</v>
      </c>
      <c r="FO37" s="273">
        <v>6512778.5661683623</v>
      </c>
      <c r="FP37" s="172">
        <f t="shared" si="127"/>
        <v>33557.905716994777</v>
      </c>
      <c r="FQ37" s="173">
        <f t="shared" si="24"/>
        <v>5.1793120616850557E-3</v>
      </c>
      <c r="FR37" s="172">
        <f t="shared" si="128"/>
        <v>6512778.5661683623</v>
      </c>
      <c r="FS37" s="273">
        <v>6817932.9385981839</v>
      </c>
      <c r="FT37" s="172">
        <f t="shared" si="129"/>
        <v>305154.37242982164</v>
      </c>
      <c r="FU37" s="173">
        <f t="shared" si="25"/>
        <v>4.6854713288579063E-2</v>
      </c>
      <c r="FV37" s="172">
        <f t="shared" si="26"/>
        <v>3287757.41</v>
      </c>
      <c r="FW37" s="273">
        <v>3572670.02</v>
      </c>
      <c r="FX37" s="172">
        <f t="shared" si="130"/>
        <v>284912.60999999987</v>
      </c>
      <c r="FY37" s="173">
        <f t="shared" si="27"/>
        <v>8.6658647360481456E-2</v>
      </c>
      <c r="FZ37" s="214"/>
      <c r="GA37" s="172">
        <f t="shared" si="28"/>
        <v>11449812.92129077</v>
      </c>
      <c r="GB37" s="172">
        <f t="shared" si="29"/>
        <v>-417058.74639949203</v>
      </c>
      <c r="GC37" s="172">
        <f t="shared" si="30"/>
        <v>224095.27385357209</v>
      </c>
      <c r="GD37" s="172">
        <f t="shared" si="31"/>
        <v>109637.27567140386</v>
      </c>
      <c r="GE37" s="172">
        <f t="shared" si="32"/>
        <v>-83326.196874516085</v>
      </c>
      <c r="GF37" s="172">
        <f t="shared" si="33"/>
        <v>11366486.724416254</v>
      </c>
      <c r="GG37" s="173">
        <f t="shared" si="34"/>
        <v>-7.2775160124731965E-3</v>
      </c>
      <c r="GH37" s="244"/>
      <c r="GI37" s="172">
        <f t="shared" si="35"/>
        <v>6654216.3100301698</v>
      </c>
      <c r="GJ37" s="172">
        <f t="shared" si="36"/>
        <v>-243587.289574489</v>
      </c>
      <c r="GK37" s="172">
        <f t="shared" si="37"/>
        <v>68591.63999568671</v>
      </c>
      <c r="GL37" s="172">
        <f t="shared" si="38"/>
        <v>33557.905716994777</v>
      </c>
      <c r="GM37" s="172">
        <f t="shared" si="39"/>
        <v>305154.37242982164</v>
      </c>
      <c r="GN37" s="172">
        <f t="shared" si="40"/>
        <v>163716.62856801413</v>
      </c>
      <c r="GO37" s="172">
        <f t="shared" si="41"/>
        <v>6817932.9385981839</v>
      </c>
      <c r="GP37" s="173">
        <f t="shared" si="42"/>
        <v>2.4603442530300289E-2</v>
      </c>
      <c r="GQ37" s="214"/>
      <c r="GR37" s="172">
        <f t="shared" si="43"/>
        <v>3413404.19</v>
      </c>
      <c r="GS37" s="172">
        <f t="shared" si="44"/>
        <v>-125646.7799999998</v>
      </c>
      <c r="GT37" s="172">
        <f t="shared" si="45"/>
        <v>284912.60999999987</v>
      </c>
      <c r="GU37" s="172">
        <f t="shared" si="131"/>
        <v>159265.83000000007</v>
      </c>
      <c r="GV37" s="172">
        <f t="shared" si="132"/>
        <v>3572670.02</v>
      </c>
      <c r="GW37" s="173">
        <f t="shared" si="133"/>
        <v>4.6658942549666252E-2</v>
      </c>
      <c r="GX37" s="214"/>
      <c r="GY37" s="273">
        <v>-409198.82751050382</v>
      </c>
      <c r="GZ37" s="172" t="e">
        <f t="shared" si="134"/>
        <v>#REF!</v>
      </c>
      <c r="HA37" s="172" t="e">
        <f>-VLOOKUP($B37,#REF!,23,FALSE)</f>
        <v>#REF!</v>
      </c>
    </row>
    <row r="38" spans="1:209" ht="15" customHeight="1" x14ac:dyDescent="0.45">
      <c r="A38" s="148">
        <v>1</v>
      </c>
      <c r="B38" s="215" t="s">
        <v>15</v>
      </c>
      <c r="C38" s="172">
        <v>1441036.7501439694</v>
      </c>
      <c r="D38" s="173">
        <f t="shared" si="0"/>
        <v>1.000380971377679E-3</v>
      </c>
      <c r="E38" s="1"/>
      <c r="F38" s="252">
        <v>1332623.4522660612</v>
      </c>
      <c r="G38" s="173">
        <f t="shared" si="1"/>
        <v>5.6704473202306754E-4</v>
      </c>
      <c r="H38" s="173">
        <f t="shared" si="46"/>
        <v>0.5668287864793744</v>
      </c>
      <c r="I38" s="172" t="e">
        <f>VLOOKUP($B38,#REF!,24,FALSE)</f>
        <v>#REF!</v>
      </c>
      <c r="J38" s="173" t="e">
        <f t="shared" si="2"/>
        <v>#REF!</v>
      </c>
      <c r="K38" s="173" t="e">
        <f t="shared" si="47"/>
        <v>#REF!</v>
      </c>
      <c r="L38" s="172" t="e">
        <f t="shared" si="48"/>
        <v>#REF!</v>
      </c>
      <c r="M38" s="173" t="e">
        <f t="shared" si="49"/>
        <v>#REF!</v>
      </c>
      <c r="N38" s="173" t="e">
        <f t="shared" si="50"/>
        <v>#REF!</v>
      </c>
      <c r="O38" s="176"/>
      <c r="P38" s="253">
        <v>14</v>
      </c>
      <c r="Q38" s="173">
        <f t="shared" si="3"/>
        <v>7.7872955834909334E-4</v>
      </c>
      <c r="R38" s="172" t="e">
        <f>VLOOKUP($B38,#REF!,4,FALSE)</f>
        <v>#REF!</v>
      </c>
      <c r="S38" s="173" t="e">
        <f t="shared" si="4"/>
        <v>#REF!</v>
      </c>
      <c r="T38" s="172" t="e">
        <f t="shared" si="51"/>
        <v>#REF!</v>
      </c>
      <c r="U38" s="173" t="e">
        <f t="shared" si="52"/>
        <v>#REF!</v>
      </c>
      <c r="V38" s="173" t="e">
        <f t="shared" si="53"/>
        <v>#REF!</v>
      </c>
      <c r="W38" s="1"/>
      <c r="X38" s="189">
        <f>VLOOKUP($B38,'Average RAS salary'!$A$5:$D$62,4,FALSE)</f>
        <v>55177.133333333331</v>
      </c>
      <c r="Y38" s="253">
        <v>40696.68785596337</v>
      </c>
      <c r="Z38" s="252" t="s">
        <v>273</v>
      </c>
      <c r="AA38" s="252" t="s">
        <v>273</v>
      </c>
      <c r="AB38" s="173">
        <f t="shared" si="5"/>
        <v>0.6976269966473968</v>
      </c>
      <c r="AC38" s="172" t="e">
        <f>VLOOKUP($B38,#REF!,3,FALSE)</f>
        <v>#REF!</v>
      </c>
      <c r="AD38" s="172" t="e">
        <f>VLOOKUP($B38,#REF!,5,FALSE)</f>
        <v>#REF!</v>
      </c>
      <c r="AE38" s="172" t="e">
        <f>VLOOKUP($B38,#REF!,6,FALSE)</f>
        <v>#REF!</v>
      </c>
      <c r="AF38" s="173" t="e">
        <f t="shared" si="6"/>
        <v>#REF!</v>
      </c>
      <c r="AG38" s="172" t="e">
        <f t="shared" si="54"/>
        <v>#REF!</v>
      </c>
      <c r="AH38" s="173" t="e">
        <f t="shared" si="7"/>
        <v>#REF!</v>
      </c>
      <c r="AI38" s="173" t="e">
        <f t="shared" si="8"/>
        <v>#REF!</v>
      </c>
      <c r="AJ38" s="189">
        <v>53831.939999999995</v>
      </c>
      <c r="AK38" s="189">
        <f>VLOOKUP($B38,'Average RAS salary'!$A$5:$D$62,4,FALSE)</f>
        <v>55177.133333333331</v>
      </c>
      <c r="AL38" s="189">
        <f t="shared" si="55"/>
        <v>1345.1933333333363</v>
      </c>
      <c r="AM38" s="173">
        <f t="shared" si="56"/>
        <v>2.4988758222968307E-2</v>
      </c>
      <c r="AN38" s="189" t="e">
        <f t="shared" si="57"/>
        <v>#REF!</v>
      </c>
      <c r="AO38" s="189" t="e">
        <f t="shared" si="58"/>
        <v>#REF!</v>
      </c>
      <c r="AP38" s="189" t="e">
        <f t="shared" si="59"/>
        <v>#REF!</v>
      </c>
      <c r="AQ38" s="189" t="e">
        <f t="shared" si="135"/>
        <v>#REF!</v>
      </c>
      <c r="AR38" s="189" t="e">
        <f t="shared" si="60"/>
        <v>#REF!</v>
      </c>
      <c r="AS38" s="189" t="e">
        <f t="shared" si="9"/>
        <v>#REF!</v>
      </c>
      <c r="AT38" s="213" t="e">
        <f t="shared" si="61"/>
        <v>#REF!</v>
      </c>
      <c r="AU38" s="173" t="e">
        <f t="shared" si="62"/>
        <v>#REF!</v>
      </c>
      <c r="AV38" s="189"/>
      <c r="AW38" s="189">
        <f>VLOOKUP($B38,'Average RAS salary'!$A$5:$D$62,4,FALSE)</f>
        <v>55177.133333333331</v>
      </c>
      <c r="AX38" s="189" t="e">
        <f t="shared" si="10"/>
        <v>#REF!</v>
      </c>
      <c r="AY38" s="189">
        <v>39865.262959708809</v>
      </c>
      <c r="AZ38" s="189" t="e">
        <f t="shared" si="11"/>
        <v>#REF!</v>
      </c>
      <c r="BA38" s="189" t="e">
        <f t="shared" si="63"/>
        <v>#REF!</v>
      </c>
      <c r="BB38" s="189" t="e">
        <f t="shared" si="64"/>
        <v>#REF!</v>
      </c>
      <c r="BC38" s="189" t="e">
        <f t="shared" si="65"/>
        <v>#REF!</v>
      </c>
      <c r="BD38" s="213">
        <f t="shared" si="66"/>
        <v>-15311.870373624522</v>
      </c>
      <c r="BE38" s="173">
        <f t="shared" si="67"/>
        <v>-0.2775039123747734</v>
      </c>
      <c r="BF38" s="189"/>
      <c r="BG38" s="189">
        <f>VLOOKUP($B38,'Average RAS salary'!$A$5:$D$62,4,FALSE)</f>
        <v>55177.133333333331</v>
      </c>
      <c r="BH38" s="189" t="e">
        <f t="shared" si="68"/>
        <v>#REF!</v>
      </c>
      <c r="BI38" s="189" t="e">
        <f>$BG$65*#REF!</f>
        <v>#REF!</v>
      </c>
      <c r="BJ38" s="189" t="e">
        <f t="shared" si="69"/>
        <v>#REF!</v>
      </c>
      <c r="BK38" s="189" t="e">
        <f t="shared" si="12"/>
        <v>#REF!</v>
      </c>
      <c r="BL38" s="189" t="e">
        <f t="shared" si="13"/>
        <v>#REF!</v>
      </c>
      <c r="BM38" s="189" t="e">
        <f t="shared" si="70"/>
        <v>#REF!</v>
      </c>
      <c r="BN38" s="213" t="e">
        <f t="shared" si="71"/>
        <v>#REF!</v>
      </c>
      <c r="BO38" s="173" t="e">
        <f t="shared" si="72"/>
        <v>#REF!</v>
      </c>
      <c r="BP38" s="189"/>
      <c r="BQ38" s="189">
        <f>VLOOKUP($B38,'Average RAS salary'!$A$5:$D$62,4,FALSE)</f>
        <v>55177.133333333331</v>
      </c>
      <c r="BR38" s="189" t="e">
        <f t="shared" si="73"/>
        <v>#REF!</v>
      </c>
      <c r="BS38" s="189" t="e">
        <f>VLOOKUP($B38,#REF!,19,FALSE)*$BQ$65</f>
        <v>#REF!</v>
      </c>
      <c r="BT38" s="189" t="e">
        <f t="shared" si="74"/>
        <v>#REF!</v>
      </c>
      <c r="BU38" s="189" t="e">
        <f t="shared" si="75"/>
        <v>#REF!</v>
      </c>
      <c r="BV38" s="189" t="e">
        <f t="shared" si="76"/>
        <v>#REF!</v>
      </c>
      <c r="BW38" s="189" t="e">
        <f t="shared" si="77"/>
        <v>#REF!</v>
      </c>
      <c r="BX38" s="213" t="e">
        <f t="shared" si="78"/>
        <v>#REF!</v>
      </c>
      <c r="BY38" s="173" t="e">
        <f t="shared" si="79"/>
        <v>#REF!</v>
      </c>
      <c r="BZ38" s="189"/>
      <c r="CA38" s="189">
        <f>VLOOKUP($B38,'Average RAS salary'!$A$5:$D$62,4,FALSE)</f>
        <v>55177.133333333331</v>
      </c>
      <c r="CB38" s="189" t="e">
        <f t="shared" si="80"/>
        <v>#REF!</v>
      </c>
      <c r="CC38" s="189" t="e">
        <f>IF(VLOOKUP($B38,#REF!,7,FALSE)&gt;VLOOKUP($B38,#REF!,19,FALSE)*$CA$65,VLOOKUP($B38,#REF!,19,FALSE)*$CA$65,VLOOKUP($B38,#REF!,7,FALSE))</f>
        <v>#REF!</v>
      </c>
      <c r="CD38" s="189" t="e">
        <f t="shared" si="81"/>
        <v>#REF!</v>
      </c>
      <c r="CE38" s="189" t="e">
        <f t="shared" si="82"/>
        <v>#REF!</v>
      </c>
      <c r="CF38" s="189" t="e">
        <f t="shared" si="83"/>
        <v>#REF!</v>
      </c>
      <c r="CG38" s="189" t="e">
        <f t="shared" si="84"/>
        <v>#REF!</v>
      </c>
      <c r="CH38" s="213" t="e">
        <f t="shared" si="85"/>
        <v>#REF!</v>
      </c>
      <c r="CI38" s="173" t="e">
        <f t="shared" si="86"/>
        <v>#REF!</v>
      </c>
      <c r="CJ38" s="189"/>
      <c r="CK38" s="189">
        <f>VLOOKUP($B38,'Average RAS salary'!$A$5:$D$62,4,FALSE)</f>
        <v>55177.133333333331</v>
      </c>
      <c r="CL38" s="189" t="e">
        <f t="shared" si="87"/>
        <v>#REF!</v>
      </c>
      <c r="CM38" s="189" t="e">
        <f>IF($AY38&gt;VLOOKUP($B38,#REF!,19,FALSE)*$CK$65,VLOOKUP($B38,#REF!,19,FALSE)*$CK$65,$AY38)</f>
        <v>#REF!</v>
      </c>
      <c r="CN38" s="189" t="e">
        <f t="shared" si="88"/>
        <v>#REF!</v>
      </c>
      <c r="CO38" s="189" t="e">
        <f t="shared" si="89"/>
        <v>#REF!</v>
      </c>
      <c r="CP38" s="189" t="e">
        <f t="shared" si="90"/>
        <v>#REF!</v>
      </c>
      <c r="CQ38" s="189" t="e">
        <f t="shared" si="91"/>
        <v>#REF!</v>
      </c>
      <c r="CR38" s="213" t="e">
        <f t="shared" si="92"/>
        <v>#REF!</v>
      </c>
      <c r="CS38" s="173" t="e">
        <f t="shared" si="93"/>
        <v>#REF!</v>
      </c>
      <c r="CT38" s="1"/>
      <c r="CU38" s="254">
        <v>0.25889000043149796</v>
      </c>
      <c r="CV38" s="252">
        <v>14139.259259259257</v>
      </c>
      <c r="CW38" s="254">
        <v>0.25888999785176869</v>
      </c>
      <c r="CX38" s="255">
        <v>19320</v>
      </c>
      <c r="CY38" s="190" t="e">
        <f>VLOOKUP($B38,#REF!,13,FALSE)</f>
        <v>#REF!</v>
      </c>
      <c r="CZ38" s="172" t="e">
        <f>VLOOKUP($B38,#REF!,14,FALSE)</f>
        <v>#REF!</v>
      </c>
      <c r="DA38" s="190" t="e">
        <f>VLOOKUP($B38,#REF!,15,FALSE)</f>
        <v>#REF!</v>
      </c>
      <c r="DB38" s="189" t="e">
        <f>VLOOKUP($B38,#REF!,16,FALSE)</f>
        <v>#REF!</v>
      </c>
      <c r="DC38" s="190" t="e">
        <f t="shared" si="94"/>
        <v>#REF!</v>
      </c>
      <c r="DD38" s="190" t="e">
        <f t="shared" si="95"/>
        <v>#REF!</v>
      </c>
      <c r="DE38" s="190" t="e">
        <f t="shared" si="96"/>
        <v>#REF!</v>
      </c>
      <c r="DF38" s="190" t="e">
        <f t="shared" si="97"/>
        <v>#REF!</v>
      </c>
      <c r="DG38" s="1"/>
      <c r="DH38" s="253" t="s">
        <v>272</v>
      </c>
      <c r="DI38" s="253">
        <v>0</v>
      </c>
      <c r="DJ38" s="173">
        <f t="shared" si="98"/>
        <v>0</v>
      </c>
      <c r="DK38" s="172" t="e">
        <f>IF(VLOOKUP($B38,#REF!,6,FALSE)="Y","Yes","")</f>
        <v>#REF!</v>
      </c>
      <c r="DL38" s="172" t="e">
        <f>VLOOKUP($B38,#REF!,4,FALSE)</f>
        <v>#REF!</v>
      </c>
      <c r="DM38" s="173" t="e">
        <f t="shared" si="15"/>
        <v>#REF!</v>
      </c>
      <c r="DN38" s="1"/>
      <c r="DO38" s="172">
        <f t="shared" si="99"/>
        <v>1332623.4522660612</v>
      </c>
      <c r="DP38" s="252">
        <v>1299379.5125297909</v>
      </c>
      <c r="DQ38" s="172">
        <f t="shared" si="100"/>
        <v>-33243.939736270346</v>
      </c>
      <c r="DR38" s="173">
        <f t="shared" si="16"/>
        <v>-2.4946236447918314E-2</v>
      </c>
      <c r="DS38" s="172">
        <f t="shared" si="101"/>
        <v>1299379.5125297909</v>
      </c>
      <c r="DT38" s="252">
        <v>1321689.4285233947</v>
      </c>
      <c r="DU38" s="172">
        <f t="shared" si="102"/>
        <v>22309.915993603878</v>
      </c>
      <c r="DV38" s="173">
        <f t="shared" si="103"/>
        <v>1.6741350270901321E-2</v>
      </c>
      <c r="DW38" s="172">
        <f t="shared" si="104"/>
        <v>1321689.4285233947</v>
      </c>
      <c r="DX38" s="252">
        <v>1328299.7681112741</v>
      </c>
      <c r="DY38" s="172">
        <f t="shared" si="105"/>
        <v>6610.3395878793672</v>
      </c>
      <c r="DZ38" s="173">
        <f t="shared" si="106"/>
        <v>4.9603956591329733E-3</v>
      </c>
      <c r="EA38" s="172">
        <f t="shared" si="107"/>
        <v>1328299.7681112741</v>
      </c>
      <c r="EB38" s="252">
        <v>1319758.6103039985</v>
      </c>
      <c r="EC38" s="172">
        <f t="shared" si="108"/>
        <v>-8541.1578072756529</v>
      </c>
      <c r="ED38" s="173">
        <f t="shared" si="109"/>
        <v>-6.4092807257382653E-3</v>
      </c>
      <c r="EE38" s="172">
        <f t="shared" si="110"/>
        <v>1319758.6103039985</v>
      </c>
      <c r="EF38" s="252">
        <v>1343461.9021012196</v>
      </c>
      <c r="EG38" s="172">
        <f t="shared" si="111"/>
        <v>23703.291797221173</v>
      </c>
      <c r="EH38" s="173">
        <f t="shared" si="112"/>
        <v>1.7786938806243338E-2</v>
      </c>
      <c r="EI38" s="172">
        <f t="shared" si="113"/>
        <v>1343461.9021012196</v>
      </c>
      <c r="EJ38" s="252">
        <v>1332623.4522660612</v>
      </c>
      <c r="EK38" s="172">
        <f t="shared" si="114"/>
        <v>-10838.449835158419</v>
      </c>
      <c r="EL38" s="173">
        <f t="shared" si="115"/>
        <v>-8.1331675626210558E-3</v>
      </c>
      <c r="EM38" s="172">
        <f t="shared" si="116"/>
        <v>0</v>
      </c>
      <c r="EN38" s="173">
        <f t="shared" si="17"/>
        <v>0</v>
      </c>
      <c r="EO38" s="214"/>
      <c r="EP38" s="273">
        <v>675775.351711681</v>
      </c>
      <c r="EQ38" s="273">
        <v>584465.42373431579</v>
      </c>
      <c r="ER38" s="172">
        <f t="shared" si="117"/>
        <v>-91309.927977365209</v>
      </c>
      <c r="ES38" s="173">
        <f t="shared" si="18"/>
        <v>-0.1351187606148774</v>
      </c>
      <c r="ET38" s="273">
        <v>388443.33250031905</v>
      </c>
      <c r="EU38" s="273">
        <v>331344.84606537718</v>
      </c>
      <c r="EV38" s="172">
        <f t="shared" si="118"/>
        <v>-57098.486434941879</v>
      </c>
      <c r="EW38" s="173">
        <f t="shared" si="19"/>
        <v>-0.14699309180418221</v>
      </c>
      <c r="EX38" s="273">
        <v>414695.95999999996</v>
      </c>
      <c r="EY38" s="273">
        <v>355453.68</v>
      </c>
      <c r="EZ38" s="172">
        <f t="shared" si="119"/>
        <v>-59242.27999999997</v>
      </c>
      <c r="FA38" s="173">
        <f t="shared" si="20"/>
        <v>-0.14285714285714279</v>
      </c>
      <c r="FB38" s="172">
        <f t="shared" si="120"/>
        <v>584465.42373431579</v>
      </c>
      <c r="FC38" s="273">
        <v>591769.99723011092</v>
      </c>
      <c r="FD38" s="172">
        <f t="shared" si="121"/>
        <v>7304.5734957951354</v>
      </c>
      <c r="FE38" s="173">
        <f t="shared" si="21"/>
        <v>1.2497871044490773E-2</v>
      </c>
      <c r="FF38" s="172">
        <f t="shared" si="122"/>
        <v>331344.84606537718</v>
      </c>
      <c r="FG38" s="273">
        <v>333235.92710538628</v>
      </c>
      <c r="FH38" s="172">
        <f t="shared" si="123"/>
        <v>1891.0810400090995</v>
      </c>
      <c r="FI38" s="173">
        <f t="shared" si="22"/>
        <v>5.7072897389687273E-3</v>
      </c>
      <c r="FJ38" s="172">
        <f t="shared" si="124"/>
        <v>591769.99723011092</v>
      </c>
      <c r="FK38" s="273">
        <v>691676.01749146811</v>
      </c>
      <c r="FL38" s="172">
        <f t="shared" si="125"/>
        <v>99906.020261357189</v>
      </c>
      <c r="FM38" s="173">
        <f t="shared" si="23"/>
        <v>0.16882576123998483</v>
      </c>
      <c r="FN38" s="172">
        <f t="shared" si="126"/>
        <v>333235.92710538628</v>
      </c>
      <c r="FO38" s="273">
        <v>359100.59665637615</v>
      </c>
      <c r="FP38" s="172">
        <f t="shared" si="127"/>
        <v>25864.669550989871</v>
      </c>
      <c r="FQ38" s="173">
        <f t="shared" si="24"/>
        <v>7.7616689699877825E-2</v>
      </c>
      <c r="FR38" s="172">
        <f t="shared" si="128"/>
        <v>359100.59665637615</v>
      </c>
      <c r="FS38" s="273">
        <v>374080.05732933199</v>
      </c>
      <c r="FT38" s="172">
        <f t="shared" si="129"/>
        <v>14979.460672955844</v>
      </c>
      <c r="FU38" s="173">
        <f t="shared" si="25"/>
        <v>4.1713828415856712E-2</v>
      </c>
      <c r="FV38" s="172">
        <f t="shared" si="26"/>
        <v>355453.68</v>
      </c>
      <c r="FW38" s="273">
        <v>391461.6</v>
      </c>
      <c r="FX38" s="172">
        <f t="shared" si="130"/>
        <v>36007.919999999984</v>
      </c>
      <c r="FY38" s="173">
        <f t="shared" si="27"/>
        <v>0.1013013003550842</v>
      </c>
      <c r="FZ38" s="214"/>
      <c r="GA38" s="172">
        <f t="shared" si="28"/>
        <v>675775.351711681</v>
      </c>
      <c r="GB38" s="172">
        <f t="shared" si="29"/>
        <v>-91309.927977365209</v>
      </c>
      <c r="GC38" s="172">
        <f t="shared" si="30"/>
        <v>7304.5734957951354</v>
      </c>
      <c r="GD38" s="172">
        <f t="shared" si="31"/>
        <v>99906.020261357189</v>
      </c>
      <c r="GE38" s="172">
        <f t="shared" si="32"/>
        <v>15900.665779787116</v>
      </c>
      <c r="GF38" s="172">
        <f t="shared" si="33"/>
        <v>691676.01749146811</v>
      </c>
      <c r="GG38" s="173">
        <f t="shared" si="34"/>
        <v>2.3529514267592172E-2</v>
      </c>
      <c r="GH38" s="244"/>
      <c r="GI38" s="172">
        <f t="shared" si="35"/>
        <v>388443.33250031905</v>
      </c>
      <c r="GJ38" s="172">
        <f t="shared" si="36"/>
        <v>-57098.486434941879</v>
      </c>
      <c r="GK38" s="172">
        <f t="shared" si="37"/>
        <v>1891.0810400090995</v>
      </c>
      <c r="GL38" s="172">
        <f t="shared" si="38"/>
        <v>25864.669550989871</v>
      </c>
      <c r="GM38" s="172">
        <f t="shared" si="39"/>
        <v>14979.460672955844</v>
      </c>
      <c r="GN38" s="172">
        <f t="shared" si="40"/>
        <v>-14363.275170987064</v>
      </c>
      <c r="GO38" s="172">
        <f t="shared" si="41"/>
        <v>374080.05732933199</v>
      </c>
      <c r="GP38" s="173">
        <f t="shared" si="42"/>
        <v>-3.6976500738303358E-2</v>
      </c>
      <c r="GQ38" s="214"/>
      <c r="GR38" s="172">
        <f t="shared" si="43"/>
        <v>414695.95999999996</v>
      </c>
      <c r="GS38" s="172">
        <f t="shared" si="44"/>
        <v>-59242.27999999997</v>
      </c>
      <c r="GT38" s="172">
        <f t="shared" si="45"/>
        <v>36007.919999999984</v>
      </c>
      <c r="GU38" s="172">
        <f t="shared" si="131"/>
        <v>-23234.359999999986</v>
      </c>
      <c r="GV38" s="172">
        <f t="shared" si="132"/>
        <v>391461.6</v>
      </c>
      <c r="GW38" s="173">
        <f t="shared" si="133"/>
        <v>-5.6027456838499197E-2</v>
      </c>
      <c r="GX38" s="214"/>
      <c r="GY38" s="273">
        <v>-146291.19194593889</v>
      </c>
      <c r="GZ38" s="172" t="e">
        <f t="shared" si="134"/>
        <v>#REF!</v>
      </c>
      <c r="HA38" s="172" t="e">
        <f>-VLOOKUP($B38,#REF!,23,FALSE)</f>
        <v>#REF!</v>
      </c>
    </row>
    <row r="39" spans="1:209" ht="15" customHeight="1" x14ac:dyDescent="0.45">
      <c r="A39" s="148">
        <v>4</v>
      </c>
      <c r="B39" s="215" t="s">
        <v>56</v>
      </c>
      <c r="C39" s="172">
        <v>57140416.701071359</v>
      </c>
      <c r="D39" s="173">
        <f t="shared" si="0"/>
        <v>3.9667403040645713E-2</v>
      </c>
      <c r="E39" s="1"/>
      <c r="F39" s="252">
        <v>118145752.73973691</v>
      </c>
      <c r="G39" s="173">
        <f t="shared" si="1"/>
        <v>5.0272210494305657E-2</v>
      </c>
      <c r="H39" s="173">
        <f t="shared" si="46"/>
        <v>1.2673431240959634</v>
      </c>
      <c r="I39" s="172" t="e">
        <f>VLOOKUP($B39,#REF!,24,FALSE)</f>
        <v>#REF!</v>
      </c>
      <c r="J39" s="173" t="e">
        <f t="shared" ref="J39:J65" si="136">I39/I$65</f>
        <v>#REF!</v>
      </c>
      <c r="K39" s="173" t="e">
        <f t="shared" si="47"/>
        <v>#REF!</v>
      </c>
      <c r="L39" s="172" t="e">
        <f t="shared" si="48"/>
        <v>#REF!</v>
      </c>
      <c r="M39" s="173" t="e">
        <f t="shared" ref="M39:M65" si="137">L39/F39</f>
        <v>#REF!</v>
      </c>
      <c r="N39" s="173" t="e">
        <f t="shared" si="50"/>
        <v>#REF!</v>
      </c>
      <c r="O39" s="176"/>
      <c r="P39" s="253">
        <v>1069</v>
      </c>
      <c r="Q39" s="173">
        <f t="shared" ref="Q39:Q65" si="138">P39/P$65</f>
        <v>5.9461564133941484E-2</v>
      </c>
      <c r="R39" s="172" t="e">
        <f>VLOOKUP($B39,#REF!,4,FALSE)</f>
        <v>#REF!</v>
      </c>
      <c r="S39" s="173" t="e">
        <f t="shared" ref="S39:S65" si="139">R39/R$65</f>
        <v>#REF!</v>
      </c>
      <c r="T39" s="172" t="e">
        <f t="shared" si="51"/>
        <v>#REF!</v>
      </c>
      <c r="U39" s="173" t="e">
        <f t="shared" si="52"/>
        <v>#REF!</v>
      </c>
      <c r="V39" s="173" t="e">
        <f t="shared" si="53"/>
        <v>#REF!</v>
      </c>
      <c r="W39" s="1"/>
      <c r="X39" s="189">
        <f>VLOOKUP($B39,'Average RAS salary'!$A$5:$D$62,4,FALSE)</f>
        <v>68670.162329087601</v>
      </c>
      <c r="Y39" s="253">
        <v>63887.901682708922</v>
      </c>
      <c r="Z39" s="252" t="s">
        <v>272</v>
      </c>
      <c r="AA39" s="252" t="s">
        <v>272</v>
      </c>
      <c r="AB39" s="173">
        <f t="shared" si="5"/>
        <v>1.09517327628129</v>
      </c>
      <c r="AC39" s="172" t="e">
        <f>VLOOKUP($B39,#REF!,3,FALSE)</f>
        <v>#REF!</v>
      </c>
      <c r="AD39" s="172" t="e">
        <f>VLOOKUP($B39,#REF!,5,FALSE)</f>
        <v>#REF!</v>
      </c>
      <c r="AE39" s="172" t="e">
        <f>VLOOKUP($B39,#REF!,6,FALSE)</f>
        <v>#REF!</v>
      </c>
      <c r="AF39" s="173" t="e">
        <f t="shared" si="6"/>
        <v>#REF!</v>
      </c>
      <c r="AG39" s="172" t="e">
        <f t="shared" ref="AG39:AG66" si="140">AC39-Y39</f>
        <v>#REF!</v>
      </c>
      <c r="AH39" s="173" t="e">
        <f t="shared" ref="AH39:AH66" si="141">AG39/Y39</f>
        <v>#REF!</v>
      </c>
      <c r="AI39" s="173" t="e">
        <f t="shared" ref="AI39:AI64" si="142">(AF39-AB39)/AB39</f>
        <v>#REF!</v>
      </c>
      <c r="AJ39" s="189">
        <v>53451.587065400359</v>
      </c>
      <c r="AK39" s="189">
        <f>VLOOKUP($B39,'Average RAS salary'!$A$5:$D$62,4,FALSE)</f>
        <v>68670.162329087601</v>
      </c>
      <c r="AL39" s="189">
        <f t="shared" si="55"/>
        <v>15218.575263687242</v>
      </c>
      <c r="AM39" s="173">
        <f t="shared" si="56"/>
        <v>0.28471699530767247</v>
      </c>
      <c r="AN39" s="189" t="e">
        <f t="shared" si="57"/>
        <v>#REF!</v>
      </c>
      <c r="AO39" s="189" t="e">
        <f t="shared" si="58"/>
        <v>#REF!</v>
      </c>
      <c r="AP39" s="189" t="e">
        <f t="shared" si="59"/>
        <v>#REF!</v>
      </c>
      <c r="AQ39" s="189" t="e">
        <f t="shared" si="135"/>
        <v>#REF!</v>
      </c>
      <c r="AR39" s="189" t="e">
        <f t="shared" si="60"/>
        <v>#REF!</v>
      </c>
      <c r="AS39" s="189" t="e">
        <f t="shared" ref="AS39:AS64" si="143">SUM(AQ39:AR39)</f>
        <v>#REF!</v>
      </c>
      <c r="AT39" s="213" t="e">
        <f t="shared" si="61"/>
        <v>#REF!</v>
      </c>
      <c r="AU39" s="173" t="e">
        <f t="shared" si="62"/>
        <v>#REF!</v>
      </c>
      <c r="AV39" s="189"/>
      <c r="AW39" s="189">
        <f>VLOOKUP($B39,'Average RAS salary'!$A$5:$D$62,4,FALSE)</f>
        <v>68670.162329087601</v>
      </c>
      <c r="AX39" s="189" t="e">
        <f t="shared" ref="AX39:AX64" si="144">AW39*(R39-1)</f>
        <v>#REF!</v>
      </c>
      <c r="AY39" s="189">
        <v>55781.302456287565</v>
      </c>
      <c r="AZ39" s="189" t="e">
        <f t="shared" ref="AZ39:AZ64" si="145">AY39*(R39-1)</f>
        <v>#REF!</v>
      </c>
      <c r="BA39" s="189" t="e">
        <f t="shared" si="63"/>
        <v>#REF!</v>
      </c>
      <c r="BB39" s="189" t="e">
        <f t="shared" si="64"/>
        <v>#REF!</v>
      </c>
      <c r="BC39" s="189" t="e">
        <f t="shared" si="65"/>
        <v>#REF!</v>
      </c>
      <c r="BD39" s="213">
        <f t="shared" si="66"/>
        <v>-12888.859872800036</v>
      </c>
      <c r="BE39" s="173">
        <f t="shared" si="67"/>
        <v>-0.18769228782411831</v>
      </c>
      <c r="BF39" s="189"/>
      <c r="BG39" s="189">
        <f>VLOOKUP($B39,'Average RAS salary'!$A$5:$D$62,4,FALSE)</f>
        <v>68670.162329087601</v>
      </c>
      <c r="BH39" s="189" t="e">
        <f t="shared" si="68"/>
        <v>#REF!</v>
      </c>
      <c r="BI39" s="189" t="e">
        <f>$BG$65*#REF!</f>
        <v>#REF!</v>
      </c>
      <c r="BJ39" s="189" t="e">
        <f t="shared" si="69"/>
        <v>#REF!</v>
      </c>
      <c r="BK39" s="189" t="e">
        <f t="shared" ref="BK39:BK64" si="146">IF($BJ39-$BH39&gt;=0,$BJ39-$BH39,"")</f>
        <v>#REF!</v>
      </c>
      <c r="BL39" s="189" t="e">
        <f t="shared" ref="BL39:BL64" si="147">IF($BJ39-$BH39&lt;0,$BJ39-$BH39,"")</f>
        <v>#REF!</v>
      </c>
      <c r="BM39" s="189" t="e">
        <f t="shared" si="70"/>
        <v>#REF!</v>
      </c>
      <c r="BN39" s="213" t="e">
        <f t="shared" si="71"/>
        <v>#REF!</v>
      </c>
      <c r="BO39" s="173" t="e">
        <f t="shared" si="72"/>
        <v>#REF!</v>
      </c>
      <c r="BP39" s="189"/>
      <c r="BQ39" s="189">
        <f>VLOOKUP($B39,'Average RAS salary'!$A$5:$D$62,4,FALSE)</f>
        <v>68670.162329087601</v>
      </c>
      <c r="BR39" s="189" t="e">
        <f t="shared" si="73"/>
        <v>#REF!</v>
      </c>
      <c r="BS39" s="189" t="e">
        <f>VLOOKUP($B39,#REF!,19,FALSE)*$BQ$65</f>
        <v>#REF!</v>
      </c>
      <c r="BT39" s="189" t="e">
        <f t="shared" si="74"/>
        <v>#REF!</v>
      </c>
      <c r="BU39" s="189" t="e">
        <f t="shared" si="75"/>
        <v>#REF!</v>
      </c>
      <c r="BV39" s="189" t="e">
        <f t="shared" si="76"/>
        <v>#REF!</v>
      </c>
      <c r="BW39" s="189" t="e">
        <f t="shared" si="77"/>
        <v>#REF!</v>
      </c>
      <c r="BX39" s="213" t="e">
        <f t="shared" si="78"/>
        <v>#REF!</v>
      </c>
      <c r="BY39" s="173" t="e">
        <f t="shared" si="79"/>
        <v>#REF!</v>
      </c>
      <c r="BZ39" s="189"/>
      <c r="CA39" s="189">
        <f>VLOOKUP($B39,'Average RAS salary'!$A$5:$D$62,4,FALSE)</f>
        <v>68670.162329087601</v>
      </c>
      <c r="CB39" s="189" t="e">
        <f t="shared" si="80"/>
        <v>#REF!</v>
      </c>
      <c r="CC39" s="189" t="e">
        <f>IF(VLOOKUP($B39,#REF!,7,FALSE)&gt;VLOOKUP($B39,#REF!,19,FALSE)*$CA$65,VLOOKUP($B39,#REF!,19,FALSE)*$CA$65,VLOOKUP($B39,#REF!,7,FALSE))</f>
        <v>#REF!</v>
      </c>
      <c r="CD39" s="189" t="e">
        <f t="shared" si="81"/>
        <v>#REF!</v>
      </c>
      <c r="CE39" s="189" t="e">
        <f t="shared" si="82"/>
        <v>#REF!</v>
      </c>
      <c r="CF39" s="189" t="e">
        <f t="shared" si="83"/>
        <v>#REF!</v>
      </c>
      <c r="CG39" s="189" t="e">
        <f t="shared" si="84"/>
        <v>#REF!</v>
      </c>
      <c r="CH39" s="213" t="e">
        <f t="shared" si="85"/>
        <v>#REF!</v>
      </c>
      <c r="CI39" s="173" t="e">
        <f t="shared" si="86"/>
        <v>#REF!</v>
      </c>
      <c r="CJ39" s="189"/>
      <c r="CK39" s="189">
        <f>VLOOKUP($B39,'Average RAS salary'!$A$5:$D$62,4,FALSE)</f>
        <v>68670.162329087601</v>
      </c>
      <c r="CL39" s="189" t="e">
        <f t="shared" si="87"/>
        <v>#REF!</v>
      </c>
      <c r="CM39" s="189" t="e">
        <f>IF($AY39&gt;VLOOKUP($B39,#REF!,19,FALSE)*$CK$65,VLOOKUP($B39,#REF!,19,FALSE)*$CK$65,$AY39)</f>
        <v>#REF!</v>
      </c>
      <c r="CN39" s="189" t="e">
        <f t="shared" si="88"/>
        <v>#REF!</v>
      </c>
      <c r="CO39" s="189" t="e">
        <f t="shared" si="89"/>
        <v>#REF!</v>
      </c>
      <c r="CP39" s="189" t="e">
        <f t="shared" si="90"/>
        <v>#REF!</v>
      </c>
      <c r="CQ39" s="189" t="e">
        <f t="shared" si="91"/>
        <v>#REF!</v>
      </c>
      <c r="CR39" s="213" t="e">
        <f t="shared" si="92"/>
        <v>#REF!</v>
      </c>
      <c r="CS39" s="173" t="e">
        <f t="shared" si="93"/>
        <v>#REF!</v>
      </c>
      <c r="CT39" s="1"/>
      <c r="CU39" s="254">
        <v>0.26298705207398526</v>
      </c>
      <c r="CV39" s="252">
        <v>10013.173670119893</v>
      </c>
      <c r="CW39" s="254">
        <v>0.26438629761753796</v>
      </c>
      <c r="CX39" s="255">
        <v>11294.20759389187</v>
      </c>
      <c r="CY39" s="190" t="e">
        <f>VLOOKUP($B39,#REF!,13,FALSE)</f>
        <v>#REF!</v>
      </c>
      <c r="CZ39" s="172" t="e">
        <f>VLOOKUP($B39,#REF!,14,FALSE)</f>
        <v>#REF!</v>
      </c>
      <c r="DA39" s="190" t="e">
        <f>VLOOKUP($B39,#REF!,15,FALSE)</f>
        <v>#REF!</v>
      </c>
      <c r="DB39" s="189" t="e">
        <f>VLOOKUP($B39,#REF!,16,FALSE)</f>
        <v>#REF!</v>
      </c>
      <c r="DC39" s="190" t="e">
        <f t="shared" si="94"/>
        <v>#REF!</v>
      </c>
      <c r="DD39" s="190" t="e">
        <f t="shared" si="95"/>
        <v>#REF!</v>
      </c>
      <c r="DE39" s="190" t="e">
        <f t="shared" si="96"/>
        <v>#REF!</v>
      </c>
      <c r="DF39" s="190" t="e">
        <f t="shared" si="97"/>
        <v>#REF!</v>
      </c>
      <c r="DG39" s="1"/>
      <c r="DH39" s="253" t="s">
        <v>272</v>
      </c>
      <c r="DI39" s="253">
        <v>0</v>
      </c>
      <c r="DJ39" s="173">
        <f t="shared" si="98"/>
        <v>0</v>
      </c>
      <c r="DK39" s="172" t="e">
        <f>IF(VLOOKUP($B39,#REF!,6,FALSE)="Y","Yes","")</f>
        <v>#REF!</v>
      </c>
      <c r="DL39" s="172" t="e">
        <f>VLOOKUP($B39,#REF!,4,FALSE)</f>
        <v>#REF!</v>
      </c>
      <c r="DM39" s="173" t="e">
        <f t="shared" ref="DM39:DM65" si="148">DL39/DL$65</f>
        <v>#REF!</v>
      </c>
      <c r="DN39" s="1"/>
      <c r="DO39" s="172">
        <f t="shared" si="99"/>
        <v>118145752.73973691</v>
      </c>
      <c r="DP39" s="252">
        <v>117579685.71407537</v>
      </c>
      <c r="DQ39" s="172">
        <f t="shared" si="100"/>
        <v>-566067.02566154301</v>
      </c>
      <c r="DR39" s="173">
        <f t="shared" ref="DR39:DR65" si="149">DQ39/DO39</f>
        <v>-4.7912600540836294E-3</v>
      </c>
      <c r="DS39" s="172">
        <f t="shared" si="101"/>
        <v>117579685.71407537</v>
      </c>
      <c r="DT39" s="252">
        <v>119818917.58252816</v>
      </c>
      <c r="DU39" s="172">
        <f t="shared" si="102"/>
        <v>2239231.8684527874</v>
      </c>
      <c r="DV39" s="173">
        <f t="shared" si="103"/>
        <v>1.895313048946912E-2</v>
      </c>
      <c r="DW39" s="172">
        <f t="shared" si="104"/>
        <v>119818917.58252816</v>
      </c>
      <c r="DX39" s="252">
        <v>121119580.9833657</v>
      </c>
      <c r="DY39" s="172">
        <f t="shared" si="105"/>
        <v>1300663.4008375406</v>
      </c>
      <c r="DZ39" s="173">
        <f t="shared" si="106"/>
        <v>1.100897299036022E-2</v>
      </c>
      <c r="EA39" s="172">
        <f t="shared" si="107"/>
        <v>121119580.9833657</v>
      </c>
      <c r="EB39" s="252">
        <v>117404662.97065322</v>
      </c>
      <c r="EC39" s="172">
        <f t="shared" si="108"/>
        <v>-3714918.0127124786</v>
      </c>
      <c r="ED39" s="173">
        <f t="shared" si="109"/>
        <v>-3.1443517236680235E-2</v>
      </c>
      <c r="EE39" s="172">
        <f t="shared" si="110"/>
        <v>117404662.97065322</v>
      </c>
      <c r="EF39" s="252">
        <v>118103642.60348523</v>
      </c>
      <c r="EG39" s="172">
        <f t="shared" si="111"/>
        <v>698979.63283200562</v>
      </c>
      <c r="EH39" s="173">
        <f t="shared" si="112"/>
        <v>5.9162485034209115E-3</v>
      </c>
      <c r="EI39" s="172">
        <f t="shared" si="113"/>
        <v>118103642.60348523</v>
      </c>
      <c r="EJ39" s="252">
        <v>118145752.73973691</v>
      </c>
      <c r="EK39" s="172">
        <f t="shared" si="114"/>
        <v>42110.136251688004</v>
      </c>
      <c r="EL39" s="173">
        <f t="shared" si="115"/>
        <v>3.5642530751361288E-4</v>
      </c>
      <c r="EM39" s="172">
        <f t="shared" si="116"/>
        <v>0</v>
      </c>
      <c r="EN39" s="173">
        <f t="shared" ref="EN39:EN65" si="150">EM39/DO39</f>
        <v>0</v>
      </c>
      <c r="EO39" s="214"/>
      <c r="EP39" s="273">
        <v>68476931.945668161</v>
      </c>
      <c r="EQ39" s="273">
        <v>65538088.468263552</v>
      </c>
      <c r="ER39" s="172">
        <f t="shared" si="117"/>
        <v>-2938843.4774046093</v>
      </c>
      <c r="ES39" s="173">
        <f t="shared" si="18"/>
        <v>-4.2917277306412968E-2</v>
      </c>
      <c r="ET39" s="273">
        <v>28912964.658187896</v>
      </c>
      <c r="EU39" s="273">
        <v>27672628.742805436</v>
      </c>
      <c r="EV39" s="172">
        <f t="shared" si="118"/>
        <v>-1240335.9153824598</v>
      </c>
      <c r="EW39" s="173">
        <f t="shared" si="19"/>
        <v>-4.2898953118292824E-2</v>
      </c>
      <c r="EX39" s="273">
        <v>22386067.970000003</v>
      </c>
      <c r="EY39" s="273">
        <v>21422775.990000002</v>
      </c>
      <c r="EZ39" s="172">
        <f t="shared" si="119"/>
        <v>-963291.98000000045</v>
      </c>
      <c r="FA39" s="173">
        <f t="shared" si="20"/>
        <v>-4.3030869971936406E-2</v>
      </c>
      <c r="FB39" s="172">
        <f t="shared" si="120"/>
        <v>65538088.468263552</v>
      </c>
      <c r="FC39" s="273">
        <v>66841987.512125283</v>
      </c>
      <c r="FD39" s="172">
        <f t="shared" si="121"/>
        <v>1303899.0438617319</v>
      </c>
      <c r="FE39" s="173">
        <f t="shared" si="21"/>
        <v>1.9895286456106172E-2</v>
      </c>
      <c r="FF39" s="172">
        <f t="shared" si="122"/>
        <v>27672628.742805436</v>
      </c>
      <c r="FG39" s="273">
        <v>28015796.965473711</v>
      </c>
      <c r="FH39" s="172">
        <f t="shared" si="123"/>
        <v>343168.22266827524</v>
      </c>
      <c r="FI39" s="173">
        <f t="shared" si="22"/>
        <v>1.2400998324291652E-2</v>
      </c>
      <c r="FJ39" s="172">
        <f t="shared" si="124"/>
        <v>66841987.512125283</v>
      </c>
      <c r="FK39" s="273">
        <v>67779970.096838385</v>
      </c>
      <c r="FL39" s="172">
        <f t="shared" si="125"/>
        <v>937982.58471310139</v>
      </c>
      <c r="FM39" s="173">
        <f t="shared" si="23"/>
        <v>1.4032835043137359E-2</v>
      </c>
      <c r="FN39" s="172">
        <f t="shared" si="126"/>
        <v>28015796.965473711</v>
      </c>
      <c r="FO39" s="273">
        <v>28262658.312769707</v>
      </c>
      <c r="FP39" s="172">
        <f t="shared" si="127"/>
        <v>246861.3472959958</v>
      </c>
      <c r="FQ39" s="173">
        <f t="shared" si="24"/>
        <v>8.8115054374581728E-3</v>
      </c>
      <c r="FR39" s="172">
        <f t="shared" si="128"/>
        <v>28262658.312769707</v>
      </c>
      <c r="FS39" s="273">
        <v>30204809.812134683</v>
      </c>
      <c r="FT39" s="172">
        <f t="shared" si="129"/>
        <v>1942151.4993649758</v>
      </c>
      <c r="FU39" s="173">
        <f t="shared" si="25"/>
        <v>6.8717934380838758E-2</v>
      </c>
      <c r="FV39" s="172">
        <f t="shared" si="26"/>
        <v>21422775.990000002</v>
      </c>
      <c r="FW39" s="273">
        <v>23279244.780000001</v>
      </c>
      <c r="FX39" s="172">
        <f t="shared" si="130"/>
        <v>1856468.7899999991</v>
      </c>
      <c r="FY39" s="173">
        <f t="shared" si="27"/>
        <v>8.6658647360481456E-2</v>
      </c>
      <c r="FZ39" s="214"/>
      <c r="GA39" s="172">
        <f t="shared" ref="GA39:GA64" si="151">EP39</f>
        <v>68476931.945668161</v>
      </c>
      <c r="GB39" s="172">
        <f t="shared" ref="GB39:GB64" si="152">ER39</f>
        <v>-2938843.4774046093</v>
      </c>
      <c r="GC39" s="172">
        <f t="shared" ref="GC39:GC64" si="153">FD39</f>
        <v>1303899.0438617319</v>
      </c>
      <c r="GD39" s="172">
        <f t="shared" ref="GD39:GD64" si="154">FL39</f>
        <v>937982.58471310139</v>
      </c>
      <c r="GE39" s="172">
        <f t="shared" ref="GE39:GE64" si="155">SUM(GB39:GD39)</f>
        <v>-696961.84882977605</v>
      </c>
      <c r="GF39" s="172">
        <f t="shared" ref="GF39:GF64" si="156">GA39+GE39</f>
        <v>67779970.096838385</v>
      </c>
      <c r="GG39" s="173">
        <f t="shared" ref="GG39:GG65" si="157">GE39/GA39</f>
        <v>-1.0178053090678308E-2</v>
      </c>
      <c r="GH39" s="244"/>
      <c r="GI39" s="172">
        <f t="shared" ref="GI39:GI64" si="158">ET39</f>
        <v>28912964.658187896</v>
      </c>
      <c r="GJ39" s="172">
        <f t="shared" ref="GJ39:GJ64" si="159">EV39</f>
        <v>-1240335.9153824598</v>
      </c>
      <c r="GK39" s="172">
        <f t="shared" ref="GK39:GK64" si="160">FH39</f>
        <v>343168.22266827524</v>
      </c>
      <c r="GL39" s="172">
        <f t="shared" ref="GL39:GL64" si="161">FP39</f>
        <v>246861.3472959958</v>
      </c>
      <c r="GM39" s="172">
        <f t="shared" ref="GM39:GM64" si="162">FT39</f>
        <v>1942151.4993649758</v>
      </c>
      <c r="GN39" s="172">
        <f t="shared" ref="GN39:GN64" si="163">SUM(GJ39:GM39)</f>
        <v>1291845.1539467871</v>
      </c>
      <c r="GO39" s="172">
        <f t="shared" ref="GO39:GO64" si="164">GI39+GN39</f>
        <v>30204809.812134683</v>
      </c>
      <c r="GP39" s="173">
        <f t="shared" ref="GP39:GP65" si="165">GN39/GI39</f>
        <v>4.468048051173984E-2</v>
      </c>
      <c r="GQ39" s="214"/>
      <c r="GR39" s="172">
        <f t="shared" ref="GR39:GR64" si="166">EX39</f>
        <v>22386067.970000003</v>
      </c>
      <c r="GS39" s="172">
        <f t="shared" ref="GS39:GS64" si="167">EZ39</f>
        <v>-963291.98000000045</v>
      </c>
      <c r="GT39" s="172">
        <f t="shared" ref="GT39:GT64" si="168">FX39</f>
        <v>1856468.7899999991</v>
      </c>
      <c r="GU39" s="172">
        <f t="shared" si="131"/>
        <v>893176.80999999866</v>
      </c>
      <c r="GV39" s="172">
        <f t="shared" si="132"/>
        <v>23279244.780000001</v>
      </c>
      <c r="GW39" s="173">
        <f t="shared" si="133"/>
        <v>3.9898780402032277E-2</v>
      </c>
      <c r="GX39" s="214"/>
      <c r="GY39" s="273">
        <v>-1630211.8341191343</v>
      </c>
      <c r="GZ39" s="172" t="e">
        <f t="shared" si="134"/>
        <v>#REF!</v>
      </c>
      <c r="HA39" s="172" t="e">
        <f>-VLOOKUP($B39,#REF!,23,FALSE)</f>
        <v>#REF!</v>
      </c>
    </row>
    <row r="40" spans="1:209" ht="15" customHeight="1" x14ac:dyDescent="0.45">
      <c r="A40" s="148">
        <v>4</v>
      </c>
      <c r="B40" s="212" t="s">
        <v>57</v>
      </c>
      <c r="C40" s="172">
        <v>61567979.457991876</v>
      </c>
      <c r="D40" s="173">
        <f t="shared" si="0"/>
        <v>4.2741057845883175E-2</v>
      </c>
      <c r="E40" s="1"/>
      <c r="F40" s="252">
        <v>98735335.014037475</v>
      </c>
      <c r="G40" s="173">
        <f t="shared" si="1"/>
        <v>4.2012881800210643E-2</v>
      </c>
      <c r="H40" s="173">
        <f t="shared" si="46"/>
        <v>0.98296307853918341</v>
      </c>
      <c r="I40" s="172" t="e">
        <f>VLOOKUP($B40,#REF!,24,FALSE)</f>
        <v>#REF!</v>
      </c>
      <c r="J40" s="173" t="e">
        <f t="shared" si="136"/>
        <v>#REF!</v>
      </c>
      <c r="K40" s="173" t="e">
        <f t="shared" si="47"/>
        <v>#REF!</v>
      </c>
      <c r="L40" s="172" t="e">
        <f t="shared" si="48"/>
        <v>#REF!</v>
      </c>
      <c r="M40" s="173" t="e">
        <f t="shared" si="137"/>
        <v>#REF!</v>
      </c>
      <c r="N40" s="173" t="e">
        <f t="shared" si="50"/>
        <v>#REF!</v>
      </c>
      <c r="O40" s="176"/>
      <c r="P40" s="253">
        <v>712</v>
      </c>
      <c r="Q40" s="173">
        <f t="shared" si="138"/>
        <v>3.9603960396039604E-2</v>
      </c>
      <c r="R40" s="172" t="e">
        <f>VLOOKUP($B40,#REF!,4,FALSE)</f>
        <v>#REF!</v>
      </c>
      <c r="S40" s="173" t="e">
        <f t="shared" si="139"/>
        <v>#REF!</v>
      </c>
      <c r="T40" s="172" t="e">
        <f t="shared" si="51"/>
        <v>#REF!</v>
      </c>
      <c r="U40" s="173" t="e">
        <f t="shared" si="52"/>
        <v>#REF!</v>
      </c>
      <c r="V40" s="173" t="e">
        <f t="shared" si="53"/>
        <v>#REF!</v>
      </c>
      <c r="W40" s="1"/>
      <c r="X40" s="189">
        <f>VLOOKUP($B40,'Average RAS salary'!$A$5:$D$62,4,FALSE)</f>
        <v>71926.656993910685</v>
      </c>
      <c r="Y40" s="253">
        <v>74704.859114878695</v>
      </c>
      <c r="Z40" s="252" t="s">
        <v>272</v>
      </c>
      <c r="AA40" s="252" t="s">
        <v>272</v>
      </c>
      <c r="AB40" s="173">
        <f t="shared" si="5"/>
        <v>1.2805987230148275</v>
      </c>
      <c r="AC40" s="172" t="e">
        <f>VLOOKUP($B40,#REF!,3,FALSE)</f>
        <v>#REF!</v>
      </c>
      <c r="AD40" s="172" t="e">
        <f>VLOOKUP($B40,#REF!,5,FALSE)</f>
        <v>#REF!</v>
      </c>
      <c r="AE40" s="172" t="e">
        <f>VLOOKUP($B40,#REF!,6,FALSE)</f>
        <v>#REF!</v>
      </c>
      <c r="AF40" s="173" t="e">
        <f t="shared" si="6"/>
        <v>#REF!</v>
      </c>
      <c r="AG40" s="172" t="e">
        <f t="shared" si="140"/>
        <v>#REF!</v>
      </c>
      <c r="AH40" s="173" t="e">
        <f t="shared" si="141"/>
        <v>#REF!</v>
      </c>
      <c r="AI40" s="173" t="e">
        <f t="shared" si="142"/>
        <v>#REF!</v>
      </c>
      <c r="AJ40" s="189">
        <v>68770.826006035611</v>
      </c>
      <c r="AK40" s="189">
        <f>VLOOKUP($B40,'Average RAS salary'!$A$5:$D$62,4,FALSE)</f>
        <v>71926.656993910685</v>
      </c>
      <c r="AL40" s="189">
        <f t="shared" si="55"/>
        <v>3155.8309878750733</v>
      </c>
      <c r="AM40" s="173">
        <f t="shared" si="56"/>
        <v>4.5889095291629982E-2</v>
      </c>
      <c r="AN40" s="189" t="e">
        <f t="shared" si="57"/>
        <v>#REF!</v>
      </c>
      <c r="AO40" s="189" t="e">
        <f t="shared" si="58"/>
        <v>#REF!</v>
      </c>
      <c r="AP40" s="189" t="e">
        <f t="shared" si="59"/>
        <v>#REF!</v>
      </c>
      <c r="AQ40" s="189" t="e">
        <f t="shared" si="135"/>
        <v>#REF!</v>
      </c>
      <c r="AR40" s="189" t="e">
        <f t="shared" si="60"/>
        <v>#REF!</v>
      </c>
      <c r="AS40" s="189" t="e">
        <f t="shared" si="143"/>
        <v>#REF!</v>
      </c>
      <c r="AT40" s="213" t="e">
        <f t="shared" si="61"/>
        <v>#REF!</v>
      </c>
      <c r="AU40" s="173" t="e">
        <f t="shared" si="62"/>
        <v>#REF!</v>
      </c>
      <c r="AV40" s="189"/>
      <c r="AW40" s="189">
        <f>VLOOKUP($B40,'Average RAS salary'!$A$5:$D$62,4,FALSE)</f>
        <v>71926.656993910685</v>
      </c>
      <c r="AX40" s="189" t="e">
        <f t="shared" si="144"/>
        <v>#REF!</v>
      </c>
      <c r="AY40" s="189">
        <v>65639.180341412881</v>
      </c>
      <c r="AZ40" s="189" t="e">
        <f t="shared" si="145"/>
        <v>#REF!</v>
      </c>
      <c r="BA40" s="189" t="e">
        <f t="shared" si="63"/>
        <v>#REF!</v>
      </c>
      <c r="BB40" s="189" t="e">
        <f t="shared" si="64"/>
        <v>#REF!</v>
      </c>
      <c r="BC40" s="189" t="e">
        <f t="shared" si="65"/>
        <v>#REF!</v>
      </c>
      <c r="BD40" s="213">
        <f t="shared" si="66"/>
        <v>-6287.476652497804</v>
      </c>
      <c r="BE40" s="173">
        <f t="shared" si="67"/>
        <v>-8.7415110270314691E-2</v>
      </c>
      <c r="BF40" s="189"/>
      <c r="BG40" s="189">
        <f>VLOOKUP($B40,'Average RAS salary'!$A$5:$D$62,4,FALSE)</f>
        <v>71926.656993910685</v>
      </c>
      <c r="BH40" s="189" t="e">
        <f t="shared" si="68"/>
        <v>#REF!</v>
      </c>
      <c r="BI40" s="189" t="e">
        <f>$BG$65*#REF!</f>
        <v>#REF!</v>
      </c>
      <c r="BJ40" s="189" t="e">
        <f t="shared" si="69"/>
        <v>#REF!</v>
      </c>
      <c r="BK40" s="189" t="e">
        <f t="shared" si="146"/>
        <v>#REF!</v>
      </c>
      <c r="BL40" s="189" t="e">
        <f t="shared" si="147"/>
        <v>#REF!</v>
      </c>
      <c r="BM40" s="189" t="e">
        <f t="shared" si="70"/>
        <v>#REF!</v>
      </c>
      <c r="BN40" s="213" t="e">
        <f t="shared" si="71"/>
        <v>#REF!</v>
      </c>
      <c r="BO40" s="173" t="e">
        <f t="shared" si="72"/>
        <v>#REF!</v>
      </c>
      <c r="BP40" s="189"/>
      <c r="BQ40" s="189">
        <f>VLOOKUP($B40,'Average RAS salary'!$A$5:$D$62,4,FALSE)</f>
        <v>71926.656993910685</v>
      </c>
      <c r="BR40" s="189" t="e">
        <f t="shared" si="73"/>
        <v>#REF!</v>
      </c>
      <c r="BS40" s="189" t="e">
        <f>VLOOKUP($B40,#REF!,19,FALSE)*$BQ$65</f>
        <v>#REF!</v>
      </c>
      <c r="BT40" s="189" t="e">
        <f t="shared" si="74"/>
        <v>#REF!</v>
      </c>
      <c r="BU40" s="189" t="e">
        <f t="shared" si="75"/>
        <v>#REF!</v>
      </c>
      <c r="BV40" s="189" t="e">
        <f t="shared" si="76"/>
        <v>#REF!</v>
      </c>
      <c r="BW40" s="189" t="e">
        <f t="shared" si="77"/>
        <v>#REF!</v>
      </c>
      <c r="BX40" s="213" t="e">
        <f t="shared" si="78"/>
        <v>#REF!</v>
      </c>
      <c r="BY40" s="173" t="e">
        <f t="shared" si="79"/>
        <v>#REF!</v>
      </c>
      <c r="BZ40" s="189"/>
      <c r="CA40" s="189">
        <f>VLOOKUP($B40,'Average RAS salary'!$A$5:$D$62,4,FALSE)</f>
        <v>71926.656993910685</v>
      </c>
      <c r="CB40" s="189" t="e">
        <f t="shared" si="80"/>
        <v>#REF!</v>
      </c>
      <c r="CC40" s="189" t="e">
        <f>IF(VLOOKUP($B40,#REF!,7,FALSE)&gt;VLOOKUP($B40,#REF!,19,FALSE)*$CA$65,VLOOKUP($B40,#REF!,19,FALSE)*$CA$65,VLOOKUP($B40,#REF!,7,FALSE))</f>
        <v>#REF!</v>
      </c>
      <c r="CD40" s="189" t="e">
        <f t="shared" si="81"/>
        <v>#REF!</v>
      </c>
      <c r="CE40" s="189" t="e">
        <f t="shared" si="82"/>
        <v>#REF!</v>
      </c>
      <c r="CF40" s="189" t="e">
        <f t="shared" si="83"/>
        <v>#REF!</v>
      </c>
      <c r="CG40" s="189" t="e">
        <f t="shared" si="84"/>
        <v>#REF!</v>
      </c>
      <c r="CH40" s="213" t="e">
        <f t="shared" si="85"/>
        <v>#REF!</v>
      </c>
      <c r="CI40" s="173" t="e">
        <f t="shared" si="86"/>
        <v>#REF!</v>
      </c>
      <c r="CJ40" s="189"/>
      <c r="CK40" s="189">
        <f>VLOOKUP($B40,'Average RAS salary'!$A$5:$D$62,4,FALSE)</f>
        <v>71926.656993910685</v>
      </c>
      <c r="CL40" s="189" t="e">
        <f t="shared" si="87"/>
        <v>#REF!</v>
      </c>
      <c r="CM40" s="189" t="e">
        <f>IF($AY40&gt;VLOOKUP($B40,#REF!,19,FALSE)*$CK$65,VLOOKUP($B40,#REF!,19,FALSE)*$CK$65,$AY40)</f>
        <v>#REF!</v>
      </c>
      <c r="CN40" s="189" t="e">
        <f t="shared" si="88"/>
        <v>#REF!</v>
      </c>
      <c r="CO40" s="189" t="e">
        <f t="shared" si="89"/>
        <v>#REF!</v>
      </c>
      <c r="CP40" s="189" t="e">
        <f t="shared" si="90"/>
        <v>#REF!</v>
      </c>
      <c r="CQ40" s="189" t="e">
        <f t="shared" si="91"/>
        <v>#REF!</v>
      </c>
      <c r="CR40" s="213" t="e">
        <f t="shared" si="92"/>
        <v>#REF!</v>
      </c>
      <c r="CS40" s="173" t="e">
        <f t="shared" si="93"/>
        <v>#REF!</v>
      </c>
      <c r="CT40" s="1"/>
      <c r="CU40" s="254">
        <v>0.36999162440980216</v>
      </c>
      <c r="CV40" s="252">
        <v>16887.732623946726</v>
      </c>
      <c r="CW40" s="254">
        <v>0.3798594514141882</v>
      </c>
      <c r="CX40" s="255">
        <v>17180.799815555554</v>
      </c>
      <c r="CY40" s="190" t="e">
        <f>VLOOKUP($B40,#REF!,13,FALSE)</f>
        <v>#REF!</v>
      </c>
      <c r="CZ40" s="172" t="e">
        <f>VLOOKUP($B40,#REF!,14,FALSE)</f>
        <v>#REF!</v>
      </c>
      <c r="DA40" s="190" t="e">
        <f>VLOOKUP($B40,#REF!,15,FALSE)</f>
        <v>#REF!</v>
      </c>
      <c r="DB40" s="189" t="e">
        <f>VLOOKUP($B40,#REF!,16,FALSE)</f>
        <v>#REF!</v>
      </c>
      <c r="DC40" s="190" t="e">
        <f t="shared" si="94"/>
        <v>#REF!</v>
      </c>
      <c r="DD40" s="190" t="e">
        <f t="shared" si="95"/>
        <v>#REF!</v>
      </c>
      <c r="DE40" s="190" t="e">
        <f t="shared" si="96"/>
        <v>#REF!</v>
      </c>
      <c r="DF40" s="190" t="e">
        <f t="shared" si="97"/>
        <v>#REF!</v>
      </c>
      <c r="DG40" s="1"/>
      <c r="DH40" s="253" t="s">
        <v>272</v>
      </c>
      <c r="DI40" s="253">
        <v>0</v>
      </c>
      <c r="DJ40" s="173">
        <f t="shared" si="98"/>
        <v>0</v>
      </c>
      <c r="DK40" s="172" t="e">
        <f>IF(VLOOKUP($B40,#REF!,6,FALSE)="Y","Yes","")</f>
        <v>#REF!</v>
      </c>
      <c r="DL40" s="172" t="e">
        <f>VLOOKUP($B40,#REF!,4,FALSE)</f>
        <v>#REF!</v>
      </c>
      <c r="DM40" s="173" t="e">
        <f t="shared" si="148"/>
        <v>#REF!</v>
      </c>
      <c r="DN40" s="1"/>
      <c r="DO40" s="172">
        <f t="shared" si="99"/>
        <v>98735335.014037475</v>
      </c>
      <c r="DP40" s="252">
        <v>99732321.822702736</v>
      </c>
      <c r="DQ40" s="172">
        <f t="shared" si="100"/>
        <v>996986.80866526067</v>
      </c>
      <c r="DR40" s="173">
        <f t="shared" si="149"/>
        <v>1.009756849990448E-2</v>
      </c>
      <c r="DS40" s="172">
        <f t="shared" si="101"/>
        <v>99732321.822702736</v>
      </c>
      <c r="DT40" s="252">
        <v>101608100.24205321</v>
      </c>
      <c r="DU40" s="172">
        <f t="shared" si="102"/>
        <v>1875778.4193504751</v>
      </c>
      <c r="DV40" s="173">
        <f t="shared" si="103"/>
        <v>1.8998045827097163E-2</v>
      </c>
      <c r="DW40" s="172">
        <f t="shared" si="104"/>
        <v>101608100.24205321</v>
      </c>
      <c r="DX40" s="252">
        <v>101536679.08192879</v>
      </c>
      <c r="DY40" s="172">
        <f t="shared" si="105"/>
        <v>-71421.16012442112</v>
      </c>
      <c r="DZ40" s="173">
        <f t="shared" si="106"/>
        <v>-7.2335967781207179E-4</v>
      </c>
      <c r="EA40" s="172">
        <f t="shared" si="107"/>
        <v>101536679.08192879</v>
      </c>
      <c r="EB40" s="252">
        <v>98300619.986866385</v>
      </c>
      <c r="EC40" s="172">
        <f t="shared" si="108"/>
        <v>-3236059.0950624049</v>
      </c>
      <c r="ED40" s="173">
        <f t="shared" si="109"/>
        <v>-3.2775085987223576E-2</v>
      </c>
      <c r="EE40" s="172">
        <f t="shared" si="110"/>
        <v>98300619.986866385</v>
      </c>
      <c r="EF40" s="252">
        <v>98766170.500034198</v>
      </c>
      <c r="EG40" s="172">
        <f t="shared" si="111"/>
        <v>465550.51316781342</v>
      </c>
      <c r="EH40" s="173">
        <f t="shared" si="112"/>
        <v>4.7151358032220666E-3</v>
      </c>
      <c r="EI40" s="172">
        <f t="shared" si="113"/>
        <v>98766170.500034198</v>
      </c>
      <c r="EJ40" s="252">
        <v>98735335.014037475</v>
      </c>
      <c r="EK40" s="172">
        <f t="shared" si="114"/>
        <v>-30835.485996723175</v>
      </c>
      <c r="EL40" s="173">
        <f t="shared" si="115"/>
        <v>-3.1230446518806272E-4</v>
      </c>
      <c r="EM40" s="172">
        <f t="shared" si="116"/>
        <v>0</v>
      </c>
      <c r="EN40" s="173">
        <f t="shared" si="150"/>
        <v>0</v>
      </c>
      <c r="EO40" s="214"/>
      <c r="EP40" s="273">
        <v>53401230.340610482</v>
      </c>
      <c r="EQ40" s="273">
        <v>53027706.045036085</v>
      </c>
      <c r="ER40" s="172">
        <f t="shared" si="117"/>
        <v>-373524.29557439685</v>
      </c>
      <c r="ES40" s="173">
        <f t="shared" si="18"/>
        <v>-6.9946758378400071E-3</v>
      </c>
      <c r="ET40" s="273">
        <v>31881002.087338321</v>
      </c>
      <c r="EU40" s="273">
        <v>31657332.321524747</v>
      </c>
      <c r="EV40" s="172">
        <f t="shared" si="118"/>
        <v>-223669.76581357419</v>
      </c>
      <c r="EW40" s="173">
        <f t="shared" si="19"/>
        <v>-7.0157696173046465E-3</v>
      </c>
      <c r="EX40" s="273">
        <v>14910084.560000001</v>
      </c>
      <c r="EY40" s="273">
        <v>14805378.91</v>
      </c>
      <c r="EZ40" s="172">
        <f t="shared" si="119"/>
        <v>-104705.65000000037</v>
      </c>
      <c r="FA40" s="173">
        <f t="shared" si="20"/>
        <v>-7.0224719101123845E-3</v>
      </c>
      <c r="FB40" s="172">
        <f t="shared" si="120"/>
        <v>53027706.045036085</v>
      </c>
      <c r="FC40" s="273">
        <v>54083860.46916049</v>
      </c>
      <c r="FD40" s="172">
        <f t="shared" si="121"/>
        <v>1056154.4241244048</v>
      </c>
      <c r="FE40" s="173">
        <f t="shared" si="21"/>
        <v>1.9917030226188168E-2</v>
      </c>
      <c r="FF40" s="172">
        <f t="shared" si="122"/>
        <v>31657332.321524747</v>
      </c>
      <c r="FG40" s="273">
        <v>32049539.560807541</v>
      </c>
      <c r="FH40" s="172">
        <f t="shared" si="123"/>
        <v>392207.2392827943</v>
      </c>
      <c r="FI40" s="173">
        <f t="shared" si="22"/>
        <v>1.2389143699771605E-2</v>
      </c>
      <c r="FJ40" s="172">
        <f t="shared" si="124"/>
        <v>54083860.46916049</v>
      </c>
      <c r="FK40" s="273">
        <v>54054696.828755282</v>
      </c>
      <c r="FL40" s="172">
        <f t="shared" si="125"/>
        <v>-29163.640405207872</v>
      </c>
      <c r="FM40" s="173">
        <f t="shared" si="23"/>
        <v>-5.3923000599850781E-4</v>
      </c>
      <c r="FN40" s="172">
        <f t="shared" si="126"/>
        <v>32049539.560807541</v>
      </c>
      <c r="FO40" s="273">
        <v>32038710.389365934</v>
      </c>
      <c r="FP40" s="172">
        <f t="shared" si="127"/>
        <v>-10829.171441607177</v>
      </c>
      <c r="FQ40" s="173">
        <f t="shared" si="24"/>
        <v>-3.378885185249232E-4</v>
      </c>
      <c r="FR40" s="172">
        <f t="shared" si="128"/>
        <v>32038710.389365934</v>
      </c>
      <c r="FS40" s="273">
        <v>31729814.240291912</v>
      </c>
      <c r="FT40" s="172">
        <f t="shared" si="129"/>
        <v>-308896.14907402173</v>
      </c>
      <c r="FU40" s="173">
        <f t="shared" si="25"/>
        <v>-9.6413415309171864E-3</v>
      </c>
      <c r="FV40" s="172">
        <f t="shared" si="26"/>
        <v>14805378.91</v>
      </c>
      <c r="FW40" s="273">
        <v>16088393.02</v>
      </c>
      <c r="FX40" s="172">
        <f t="shared" si="130"/>
        <v>1283014.1099999994</v>
      </c>
      <c r="FY40" s="173">
        <f t="shared" si="27"/>
        <v>8.6658647360481456E-2</v>
      </c>
      <c r="FZ40" s="214"/>
      <c r="GA40" s="172">
        <f t="shared" si="151"/>
        <v>53401230.340610482</v>
      </c>
      <c r="GB40" s="172">
        <f t="shared" si="152"/>
        <v>-373524.29557439685</v>
      </c>
      <c r="GC40" s="172">
        <f t="shared" si="153"/>
        <v>1056154.4241244048</v>
      </c>
      <c r="GD40" s="172">
        <f t="shared" si="154"/>
        <v>-29163.640405207872</v>
      </c>
      <c r="GE40" s="172">
        <f t="shared" si="155"/>
        <v>653466.48814480007</v>
      </c>
      <c r="GF40" s="172">
        <f t="shared" si="156"/>
        <v>54054696.828755282</v>
      </c>
      <c r="GG40" s="173">
        <f t="shared" si="157"/>
        <v>1.2236918212872202E-2</v>
      </c>
      <c r="GH40" s="244"/>
      <c r="GI40" s="172">
        <f t="shared" si="158"/>
        <v>31881002.087338321</v>
      </c>
      <c r="GJ40" s="172">
        <f t="shared" si="159"/>
        <v>-223669.76581357419</v>
      </c>
      <c r="GK40" s="172">
        <f t="shared" si="160"/>
        <v>392207.2392827943</v>
      </c>
      <c r="GL40" s="172">
        <f t="shared" si="161"/>
        <v>-10829.171441607177</v>
      </c>
      <c r="GM40" s="172">
        <f t="shared" si="162"/>
        <v>-308896.14907402173</v>
      </c>
      <c r="GN40" s="172">
        <f t="shared" si="163"/>
        <v>-151187.8470464088</v>
      </c>
      <c r="GO40" s="172">
        <f t="shared" si="164"/>
        <v>31729814.240291912</v>
      </c>
      <c r="GP40" s="173">
        <f t="shared" si="165"/>
        <v>-4.742255172288129E-3</v>
      </c>
      <c r="GQ40" s="214"/>
      <c r="GR40" s="172">
        <f t="shared" si="166"/>
        <v>14910084.560000001</v>
      </c>
      <c r="GS40" s="172">
        <f t="shared" si="167"/>
        <v>-104705.65000000037</v>
      </c>
      <c r="GT40" s="172">
        <f t="shared" si="168"/>
        <v>1283014.1099999994</v>
      </c>
      <c r="GU40" s="172">
        <f t="shared" si="131"/>
        <v>1178308.459999999</v>
      </c>
      <c r="GV40" s="172">
        <f t="shared" si="132"/>
        <v>16088393.02</v>
      </c>
      <c r="GW40" s="173">
        <f t="shared" si="133"/>
        <v>7.9027617533511757E-2</v>
      </c>
      <c r="GX40" s="214"/>
      <c r="GY40" s="273">
        <v>-1456981.973911325</v>
      </c>
      <c r="GZ40" s="172" t="e">
        <f t="shared" si="134"/>
        <v>#REF!</v>
      </c>
      <c r="HA40" s="172" t="e">
        <f>-VLOOKUP($B40,#REF!,23,FALSE)</f>
        <v>#REF!</v>
      </c>
    </row>
    <row r="41" spans="1:209" ht="15" customHeight="1" x14ac:dyDescent="0.45">
      <c r="A41" s="148">
        <v>1</v>
      </c>
      <c r="B41" s="215" t="s">
        <v>16</v>
      </c>
      <c r="C41" s="172">
        <v>2496023.873013238</v>
      </c>
      <c r="D41" s="173">
        <f t="shared" si="0"/>
        <v>1.7327627393384621E-3</v>
      </c>
      <c r="E41" s="1"/>
      <c r="F41" s="252">
        <v>2742618.4793028603</v>
      </c>
      <c r="G41" s="173">
        <f t="shared" si="1"/>
        <v>1.1670118501916525E-3</v>
      </c>
      <c r="H41" s="173">
        <f t="shared" si="46"/>
        <v>0.67349777537183009</v>
      </c>
      <c r="I41" s="172" t="e">
        <f>VLOOKUP($B41,#REF!,24,FALSE)</f>
        <v>#REF!</v>
      </c>
      <c r="J41" s="173" t="e">
        <f t="shared" si="136"/>
        <v>#REF!</v>
      </c>
      <c r="K41" s="173" t="e">
        <f t="shared" si="47"/>
        <v>#REF!</v>
      </c>
      <c r="L41" s="172" t="e">
        <f t="shared" si="48"/>
        <v>#REF!</v>
      </c>
      <c r="M41" s="173" t="e">
        <f t="shared" si="137"/>
        <v>#REF!</v>
      </c>
      <c r="N41" s="173" t="e">
        <f t="shared" si="50"/>
        <v>#REF!</v>
      </c>
      <c r="O41" s="176"/>
      <c r="P41" s="253">
        <v>25</v>
      </c>
      <c r="Q41" s="173">
        <f t="shared" si="138"/>
        <v>1.3905884970519524E-3</v>
      </c>
      <c r="R41" s="172" t="e">
        <f>VLOOKUP($B41,#REF!,4,FALSE)</f>
        <v>#REF!</v>
      </c>
      <c r="S41" s="173" t="e">
        <f t="shared" si="139"/>
        <v>#REF!</v>
      </c>
      <c r="T41" s="172" t="e">
        <f t="shared" si="51"/>
        <v>#REF!</v>
      </c>
      <c r="U41" s="173" t="e">
        <f t="shared" si="52"/>
        <v>#REF!</v>
      </c>
      <c r="V41" s="173" t="e">
        <f t="shared" si="53"/>
        <v>#REF!</v>
      </c>
      <c r="W41" s="1"/>
      <c r="X41" s="189">
        <f>VLOOKUP($B41,'Average RAS salary'!$A$5:$D$62,4,FALSE)</f>
        <v>55992.470163934435</v>
      </c>
      <c r="Y41" s="253">
        <v>56465.57748009939</v>
      </c>
      <c r="Z41" s="252" t="s">
        <v>273</v>
      </c>
      <c r="AA41" s="252" t="s">
        <v>272</v>
      </c>
      <c r="AB41" s="173">
        <f t="shared" si="5"/>
        <v>0.96793899716903975</v>
      </c>
      <c r="AC41" s="172" t="e">
        <f>VLOOKUP($B41,#REF!,3,FALSE)</f>
        <v>#REF!</v>
      </c>
      <c r="AD41" s="172" t="e">
        <f>VLOOKUP($B41,#REF!,5,FALSE)</f>
        <v>#REF!</v>
      </c>
      <c r="AE41" s="172" t="e">
        <f>VLOOKUP($B41,#REF!,6,FALSE)</f>
        <v>#REF!</v>
      </c>
      <c r="AF41" s="173" t="e">
        <f t="shared" si="6"/>
        <v>#REF!</v>
      </c>
      <c r="AG41" s="172" t="e">
        <f t="shared" si="140"/>
        <v>#REF!</v>
      </c>
      <c r="AH41" s="173" t="e">
        <f t="shared" si="141"/>
        <v>#REF!</v>
      </c>
      <c r="AI41" s="173" t="e">
        <f t="shared" si="142"/>
        <v>#REF!</v>
      </c>
      <c r="AJ41" s="189">
        <v>56396.771168524603</v>
      </c>
      <c r="AK41" s="189">
        <f>VLOOKUP($B41,'Average RAS salary'!$A$5:$D$62,4,FALSE)</f>
        <v>55992.470163934435</v>
      </c>
      <c r="AL41" s="189">
        <f t="shared" si="55"/>
        <v>-404.3010045901683</v>
      </c>
      <c r="AM41" s="173">
        <f t="shared" si="56"/>
        <v>-7.1688679371738799E-3</v>
      </c>
      <c r="AN41" s="189" t="e">
        <f t="shared" si="57"/>
        <v>#REF!</v>
      </c>
      <c r="AO41" s="189" t="e">
        <f t="shared" si="58"/>
        <v>#REF!</v>
      </c>
      <c r="AP41" s="189" t="e">
        <f t="shared" si="59"/>
        <v>#REF!</v>
      </c>
      <c r="AQ41" s="189" t="e">
        <f t="shared" si="135"/>
        <v>#REF!</v>
      </c>
      <c r="AR41" s="189" t="e">
        <f t="shared" si="60"/>
        <v>#REF!</v>
      </c>
      <c r="AS41" s="189" t="e">
        <f t="shared" si="143"/>
        <v>#REF!</v>
      </c>
      <c r="AT41" s="213" t="e">
        <f t="shared" si="61"/>
        <v>#REF!</v>
      </c>
      <c r="AU41" s="173" t="e">
        <f t="shared" si="62"/>
        <v>#REF!</v>
      </c>
      <c r="AV41" s="189"/>
      <c r="AW41" s="189">
        <f>VLOOKUP($B41,'Average RAS salary'!$A$5:$D$62,4,FALSE)</f>
        <v>55992.470163934435</v>
      </c>
      <c r="AX41" s="189" t="e">
        <f t="shared" si="144"/>
        <v>#REF!</v>
      </c>
      <c r="AY41" s="189">
        <v>50832.130371937921</v>
      </c>
      <c r="AZ41" s="189" t="e">
        <f t="shared" si="145"/>
        <v>#REF!</v>
      </c>
      <c r="BA41" s="189" t="e">
        <f t="shared" si="63"/>
        <v>#REF!</v>
      </c>
      <c r="BB41" s="189" t="e">
        <f t="shared" si="64"/>
        <v>#REF!</v>
      </c>
      <c r="BC41" s="189" t="e">
        <f t="shared" si="65"/>
        <v>#REF!</v>
      </c>
      <c r="BD41" s="213">
        <f t="shared" si="66"/>
        <v>-5160.3397919965137</v>
      </c>
      <c r="BE41" s="173">
        <f>BD41/AW41</f>
        <v>-9.2161316992947453E-2</v>
      </c>
      <c r="BF41" s="189"/>
      <c r="BG41" s="189">
        <f>VLOOKUP($B41,'Average RAS salary'!$A$5:$D$62,4,FALSE)</f>
        <v>55992.470163934435</v>
      </c>
      <c r="BH41" s="189" t="e">
        <f t="shared" si="68"/>
        <v>#REF!</v>
      </c>
      <c r="BI41" s="189" t="e">
        <f>$BG$65*#REF!</f>
        <v>#REF!</v>
      </c>
      <c r="BJ41" s="189" t="e">
        <f t="shared" si="69"/>
        <v>#REF!</v>
      </c>
      <c r="BK41" s="189" t="e">
        <f t="shared" si="146"/>
        <v>#REF!</v>
      </c>
      <c r="BL41" s="189" t="e">
        <f t="shared" si="147"/>
        <v>#REF!</v>
      </c>
      <c r="BM41" s="189" t="e">
        <f t="shared" si="70"/>
        <v>#REF!</v>
      </c>
      <c r="BN41" s="213" t="e">
        <f t="shared" si="71"/>
        <v>#REF!</v>
      </c>
      <c r="BO41" s="173" t="e">
        <f t="shared" si="72"/>
        <v>#REF!</v>
      </c>
      <c r="BP41" s="189"/>
      <c r="BQ41" s="189">
        <f>VLOOKUP($B41,'Average RAS salary'!$A$5:$D$62,4,FALSE)</f>
        <v>55992.470163934435</v>
      </c>
      <c r="BR41" s="189" t="e">
        <f t="shared" si="73"/>
        <v>#REF!</v>
      </c>
      <c r="BS41" s="189" t="e">
        <f>VLOOKUP($B41,#REF!,19,FALSE)*$BQ$65</f>
        <v>#REF!</v>
      </c>
      <c r="BT41" s="189" t="e">
        <f t="shared" si="74"/>
        <v>#REF!</v>
      </c>
      <c r="BU41" s="189" t="e">
        <f t="shared" si="75"/>
        <v>#REF!</v>
      </c>
      <c r="BV41" s="189" t="e">
        <f t="shared" si="76"/>
        <v>#REF!</v>
      </c>
      <c r="BW41" s="189" t="e">
        <f t="shared" si="77"/>
        <v>#REF!</v>
      </c>
      <c r="BX41" s="213" t="e">
        <f t="shared" si="78"/>
        <v>#REF!</v>
      </c>
      <c r="BY41" s="173" t="e">
        <f t="shared" si="79"/>
        <v>#REF!</v>
      </c>
      <c r="BZ41" s="189"/>
      <c r="CA41" s="189">
        <f>VLOOKUP($B41,'Average RAS salary'!$A$5:$D$62,4,FALSE)</f>
        <v>55992.470163934435</v>
      </c>
      <c r="CB41" s="189" t="e">
        <f t="shared" si="80"/>
        <v>#REF!</v>
      </c>
      <c r="CC41" s="189" t="e">
        <f>IF(VLOOKUP($B41,#REF!,7,FALSE)&gt;VLOOKUP($B41,#REF!,19,FALSE)*$CA$65,VLOOKUP($B41,#REF!,19,FALSE)*$CA$65,VLOOKUP($B41,#REF!,7,FALSE))</f>
        <v>#REF!</v>
      </c>
      <c r="CD41" s="189" t="e">
        <f t="shared" si="81"/>
        <v>#REF!</v>
      </c>
      <c r="CE41" s="189" t="e">
        <f t="shared" si="82"/>
        <v>#REF!</v>
      </c>
      <c r="CF41" s="189" t="e">
        <f t="shared" si="83"/>
        <v>#REF!</v>
      </c>
      <c r="CG41" s="189" t="e">
        <f t="shared" si="84"/>
        <v>#REF!</v>
      </c>
      <c r="CH41" s="213" t="e">
        <f t="shared" si="85"/>
        <v>#REF!</v>
      </c>
      <c r="CI41" s="173" t="e">
        <f t="shared" si="86"/>
        <v>#REF!</v>
      </c>
      <c r="CJ41" s="189"/>
      <c r="CK41" s="189">
        <f>VLOOKUP($B41,'Average RAS salary'!$A$5:$D$62,4,FALSE)</f>
        <v>55992.470163934435</v>
      </c>
      <c r="CL41" s="189" t="e">
        <f t="shared" si="87"/>
        <v>#REF!</v>
      </c>
      <c r="CM41" s="189" t="e">
        <f>IF($AY41&gt;VLOOKUP($B41,#REF!,19,FALSE)*$CK$65,VLOOKUP($B41,#REF!,19,FALSE)*$CK$65,$AY41)</f>
        <v>#REF!</v>
      </c>
      <c r="CN41" s="189" t="e">
        <f t="shared" si="88"/>
        <v>#REF!</v>
      </c>
      <c r="CO41" s="189" t="e">
        <f t="shared" si="89"/>
        <v>#REF!</v>
      </c>
      <c r="CP41" s="189" t="e">
        <f t="shared" si="90"/>
        <v>#REF!</v>
      </c>
      <c r="CQ41" s="189" t="e">
        <f t="shared" si="91"/>
        <v>#REF!</v>
      </c>
      <c r="CR41" s="213" t="e">
        <f t="shared" si="92"/>
        <v>#REF!</v>
      </c>
      <c r="CS41" s="173" t="e">
        <f t="shared" si="93"/>
        <v>#REF!</v>
      </c>
      <c r="CT41" s="1"/>
      <c r="CU41" s="254">
        <v>0.25677999964865872</v>
      </c>
      <c r="CV41" s="252">
        <v>12320.819149484534</v>
      </c>
      <c r="CW41" s="254">
        <v>0.2567799990688599</v>
      </c>
      <c r="CX41" s="255">
        <v>16947.733800000002</v>
      </c>
      <c r="CY41" s="190" t="e">
        <f>VLOOKUP($B41,#REF!,13,FALSE)</f>
        <v>#REF!</v>
      </c>
      <c r="CZ41" s="172" t="e">
        <f>VLOOKUP($B41,#REF!,14,FALSE)</f>
        <v>#REF!</v>
      </c>
      <c r="DA41" s="190" t="e">
        <f>VLOOKUP($B41,#REF!,15,FALSE)</f>
        <v>#REF!</v>
      </c>
      <c r="DB41" s="189" t="e">
        <f>VLOOKUP($B41,#REF!,16,FALSE)</f>
        <v>#REF!</v>
      </c>
      <c r="DC41" s="190" t="e">
        <f t="shared" si="94"/>
        <v>#REF!</v>
      </c>
      <c r="DD41" s="190" t="e">
        <f t="shared" si="95"/>
        <v>#REF!</v>
      </c>
      <c r="DE41" s="190" t="e">
        <f t="shared" si="96"/>
        <v>#REF!</v>
      </c>
      <c r="DF41" s="190" t="e">
        <f t="shared" si="97"/>
        <v>#REF!</v>
      </c>
      <c r="DG41" s="1"/>
      <c r="DH41" s="253" t="s">
        <v>272</v>
      </c>
      <c r="DI41" s="253">
        <v>0</v>
      </c>
      <c r="DJ41" s="173">
        <f t="shared" si="98"/>
        <v>0</v>
      </c>
      <c r="DK41" s="172" t="e">
        <f>IF(VLOOKUP($B41,#REF!,6,FALSE)="Y","Yes","")</f>
        <v>#REF!</v>
      </c>
      <c r="DL41" s="172" t="e">
        <f>VLOOKUP($B41,#REF!,4,FALSE)</f>
        <v>#REF!</v>
      </c>
      <c r="DM41" s="173" t="e">
        <f t="shared" si="148"/>
        <v>#REF!</v>
      </c>
      <c r="DN41" s="1"/>
      <c r="DO41" s="172">
        <f t="shared" si="99"/>
        <v>2742618.4793028603</v>
      </c>
      <c r="DP41" s="252">
        <v>2651740.7439061599</v>
      </c>
      <c r="DQ41" s="172">
        <f t="shared" si="100"/>
        <v>-90877.735396700446</v>
      </c>
      <c r="DR41" s="173">
        <f t="shared" si="149"/>
        <v>-3.3135390898336121E-2</v>
      </c>
      <c r="DS41" s="172">
        <f t="shared" si="101"/>
        <v>2651740.7439061599</v>
      </c>
      <c r="DT41" s="252">
        <v>2698882.0232318365</v>
      </c>
      <c r="DU41" s="172">
        <f t="shared" si="102"/>
        <v>47141.279325676616</v>
      </c>
      <c r="DV41" s="173">
        <f t="shared" si="103"/>
        <v>1.7188420365948729E-2</v>
      </c>
      <c r="DW41" s="172">
        <f t="shared" si="104"/>
        <v>2698882.0232318365</v>
      </c>
      <c r="DX41" s="252">
        <v>2669431.2267868374</v>
      </c>
      <c r="DY41" s="172">
        <f t="shared" si="105"/>
        <v>-29450.796444999054</v>
      </c>
      <c r="DZ41" s="173">
        <f t="shared" si="106"/>
        <v>-1.0738203897935188E-2</v>
      </c>
      <c r="EA41" s="172">
        <f t="shared" si="107"/>
        <v>2669431.2267868374</v>
      </c>
      <c r="EB41" s="252">
        <v>2706447.679430082</v>
      </c>
      <c r="EC41" s="172">
        <f t="shared" si="108"/>
        <v>37016.452643244527</v>
      </c>
      <c r="ED41" s="173">
        <f t="shared" si="109"/>
        <v>1.3496756082768629E-2</v>
      </c>
      <c r="EE41" s="172">
        <f t="shared" si="110"/>
        <v>2706447.679430082</v>
      </c>
      <c r="EF41" s="252">
        <v>2748774.9862108338</v>
      </c>
      <c r="EG41" s="172">
        <f t="shared" si="111"/>
        <v>42327.306780751795</v>
      </c>
      <c r="EH41" s="173">
        <f t="shared" si="112"/>
        <v>1.5433173480079108E-2</v>
      </c>
      <c r="EI41" s="172">
        <f t="shared" si="113"/>
        <v>2748774.9862108338</v>
      </c>
      <c r="EJ41" s="252">
        <v>2742618.4793028603</v>
      </c>
      <c r="EK41" s="172">
        <f t="shared" si="114"/>
        <v>-6156.5069079734385</v>
      </c>
      <c r="EL41" s="173">
        <f t="shared" si="115"/>
        <v>-2.2447551325251577E-3</v>
      </c>
      <c r="EM41" s="172">
        <f t="shared" si="116"/>
        <v>0</v>
      </c>
      <c r="EN41" s="173">
        <f t="shared" si="150"/>
        <v>0</v>
      </c>
      <c r="EO41" s="214"/>
      <c r="EP41" s="273">
        <v>1469308.570281982</v>
      </c>
      <c r="EQ41" s="273">
        <v>1582239.7252421807</v>
      </c>
      <c r="ER41" s="172">
        <f t="shared" si="117"/>
        <v>112931.15496019879</v>
      </c>
      <c r="ES41" s="173">
        <f t="shared" si="18"/>
        <v>7.68600668670473E-2</v>
      </c>
      <c r="ET41" s="273">
        <v>703817.19133556262</v>
      </c>
      <c r="EU41" s="273">
        <v>762084.20618331095</v>
      </c>
      <c r="EV41" s="172">
        <f t="shared" si="118"/>
        <v>58267.014847748331</v>
      </c>
      <c r="EW41" s="173">
        <f t="shared" si="19"/>
        <v>8.2787143543880934E-2</v>
      </c>
      <c r="EX41" s="273">
        <v>740528.5</v>
      </c>
      <c r="EY41" s="273">
        <v>799770.78</v>
      </c>
      <c r="EZ41" s="172">
        <f t="shared" si="119"/>
        <v>59242.280000000028</v>
      </c>
      <c r="FA41" s="173">
        <f t="shared" si="20"/>
        <v>8.0000000000000043E-2</v>
      </c>
      <c r="FB41" s="172">
        <f t="shared" si="120"/>
        <v>1582239.7252421807</v>
      </c>
      <c r="FC41" s="273">
        <v>1607682.3764350228</v>
      </c>
      <c r="FD41" s="172">
        <f t="shared" si="121"/>
        <v>25442.651192842051</v>
      </c>
      <c r="FE41" s="173">
        <f t="shared" si="21"/>
        <v>1.6080149415378726E-2</v>
      </c>
      <c r="FF41" s="172">
        <f t="shared" si="122"/>
        <v>762084.20618331095</v>
      </c>
      <c r="FG41" s="273">
        <v>768617.37014721264</v>
      </c>
      <c r="FH41" s="172">
        <f t="shared" si="123"/>
        <v>6533.1639639016939</v>
      </c>
      <c r="FI41" s="173">
        <f t="shared" si="22"/>
        <v>8.5727586412284382E-3</v>
      </c>
      <c r="FJ41" s="172">
        <f t="shared" si="124"/>
        <v>1607682.3764350228</v>
      </c>
      <c r="FK41" s="273">
        <v>1600814.8647405426</v>
      </c>
      <c r="FL41" s="172">
        <f t="shared" si="125"/>
        <v>-6867.5116944801994</v>
      </c>
      <c r="FM41" s="173">
        <f t="shared" si="23"/>
        <v>-4.2716843794161985E-3</v>
      </c>
      <c r="FN41" s="172">
        <f t="shared" si="126"/>
        <v>768617.37014721264</v>
      </c>
      <c r="FO41" s="273">
        <v>766853.93049756088</v>
      </c>
      <c r="FP41" s="172">
        <f t="shared" si="127"/>
        <v>-1763.4396496517584</v>
      </c>
      <c r="FQ41" s="173">
        <f t="shared" si="24"/>
        <v>-2.2943010633678603E-3</v>
      </c>
      <c r="FR41" s="172">
        <f t="shared" si="128"/>
        <v>766853.93049756088</v>
      </c>
      <c r="FS41" s="273">
        <v>788935.97958900849</v>
      </c>
      <c r="FT41" s="172">
        <f t="shared" si="129"/>
        <v>22082.04909144761</v>
      </c>
      <c r="FU41" s="173">
        <f t="shared" si="25"/>
        <v>2.8795639186618014E-2</v>
      </c>
      <c r="FV41" s="172">
        <f t="shared" si="26"/>
        <v>799770.78</v>
      </c>
      <c r="FW41" s="273">
        <v>880788.6</v>
      </c>
      <c r="FX41" s="172">
        <f t="shared" si="130"/>
        <v>81017.819999999949</v>
      </c>
      <c r="FY41" s="173">
        <f t="shared" si="27"/>
        <v>0.10130130035508417</v>
      </c>
      <c r="FZ41" s="214"/>
      <c r="GA41" s="172">
        <f t="shared" si="151"/>
        <v>1469308.570281982</v>
      </c>
      <c r="GB41" s="172">
        <f t="shared" si="152"/>
        <v>112931.15496019879</v>
      </c>
      <c r="GC41" s="172">
        <f t="shared" si="153"/>
        <v>25442.651192842051</v>
      </c>
      <c r="GD41" s="172">
        <f t="shared" si="154"/>
        <v>-6867.5116944801994</v>
      </c>
      <c r="GE41" s="172">
        <f t="shared" si="155"/>
        <v>131506.29445856065</v>
      </c>
      <c r="GF41" s="172">
        <f t="shared" si="156"/>
        <v>1600814.8647405426</v>
      </c>
      <c r="GG41" s="173">
        <f t="shared" si="157"/>
        <v>8.9502162526230042E-2</v>
      </c>
      <c r="GH41" s="244"/>
      <c r="GI41" s="172">
        <f t="shared" si="158"/>
        <v>703817.19133556262</v>
      </c>
      <c r="GJ41" s="172">
        <f t="shared" si="159"/>
        <v>58267.014847748331</v>
      </c>
      <c r="GK41" s="172">
        <f t="shared" si="160"/>
        <v>6533.1639639016939</v>
      </c>
      <c r="GL41" s="172">
        <f t="shared" si="161"/>
        <v>-1763.4396496517584</v>
      </c>
      <c r="GM41" s="172">
        <f t="shared" si="162"/>
        <v>22082.04909144761</v>
      </c>
      <c r="GN41" s="172">
        <f t="shared" si="163"/>
        <v>85118.788253445877</v>
      </c>
      <c r="GO41" s="172">
        <f t="shared" si="164"/>
        <v>788935.97958900849</v>
      </c>
      <c r="GP41" s="173">
        <f t="shared" si="165"/>
        <v>0.12093877401875418</v>
      </c>
      <c r="GQ41" s="214"/>
      <c r="GR41" s="172">
        <f t="shared" si="166"/>
        <v>740528.5</v>
      </c>
      <c r="GS41" s="172">
        <f t="shared" si="167"/>
        <v>59242.280000000028</v>
      </c>
      <c r="GT41" s="172">
        <f t="shared" si="168"/>
        <v>81017.819999999949</v>
      </c>
      <c r="GU41" s="172">
        <f t="shared" si="131"/>
        <v>140260.09999999998</v>
      </c>
      <c r="GV41" s="172">
        <f t="shared" si="132"/>
        <v>880788.6</v>
      </c>
      <c r="GW41" s="173">
        <f t="shared" si="133"/>
        <v>0.18940540438349096</v>
      </c>
      <c r="GX41" s="214"/>
      <c r="GY41" s="273">
        <v>-171035.78231468413</v>
      </c>
      <c r="GZ41" s="172" t="e">
        <f t="shared" si="134"/>
        <v>#REF!</v>
      </c>
      <c r="HA41" s="172" t="e">
        <f>-VLOOKUP($B41,#REF!,23,FALSE)</f>
        <v>#REF!</v>
      </c>
    </row>
    <row r="42" spans="1:209" ht="15" customHeight="1" x14ac:dyDescent="0.45">
      <c r="A42" s="148">
        <v>4</v>
      </c>
      <c r="B42" s="215" t="s">
        <v>58</v>
      </c>
      <c r="C42" s="172">
        <v>61335146.784065619</v>
      </c>
      <c r="D42" s="173">
        <f t="shared" si="0"/>
        <v>4.257942326127765E-2</v>
      </c>
      <c r="E42" s="1"/>
      <c r="F42" s="252">
        <v>128763248.89794444</v>
      </c>
      <c r="G42" s="173">
        <f t="shared" si="1"/>
        <v>5.4790062295239375E-2</v>
      </c>
      <c r="H42" s="173">
        <f t="shared" si="46"/>
        <v>1.2867732368997646</v>
      </c>
      <c r="I42" s="172" t="e">
        <f>VLOOKUP($B42,#REF!,24,FALSE)</f>
        <v>#REF!</v>
      </c>
      <c r="J42" s="173" t="e">
        <f t="shared" si="136"/>
        <v>#REF!</v>
      </c>
      <c r="K42" s="173" t="e">
        <f t="shared" si="47"/>
        <v>#REF!</v>
      </c>
      <c r="L42" s="172" t="e">
        <f t="shared" si="48"/>
        <v>#REF!</v>
      </c>
      <c r="M42" s="173" t="e">
        <f t="shared" si="137"/>
        <v>#REF!</v>
      </c>
      <c r="N42" s="173" t="e">
        <f t="shared" si="50"/>
        <v>#REF!</v>
      </c>
      <c r="O42" s="176"/>
      <c r="P42" s="253">
        <v>1158</v>
      </c>
      <c r="Q42" s="173">
        <f t="shared" si="138"/>
        <v>6.4412059183446432E-2</v>
      </c>
      <c r="R42" s="172" t="e">
        <f>VLOOKUP($B42,#REF!,4,FALSE)</f>
        <v>#REF!</v>
      </c>
      <c r="S42" s="173" t="e">
        <f t="shared" si="139"/>
        <v>#REF!</v>
      </c>
      <c r="T42" s="172" t="e">
        <f t="shared" si="51"/>
        <v>#REF!</v>
      </c>
      <c r="U42" s="173" t="e">
        <f t="shared" si="52"/>
        <v>#REF!</v>
      </c>
      <c r="V42" s="173" t="e">
        <f t="shared" si="53"/>
        <v>#REF!</v>
      </c>
      <c r="W42" s="1"/>
      <c r="X42" s="189">
        <f>VLOOKUP($B42,'Average RAS salary'!$A$5:$D$62,4,FALSE)</f>
        <v>62351.535598982104</v>
      </c>
      <c r="Y42" s="253">
        <v>61985.176667817112</v>
      </c>
      <c r="Z42" s="252" t="s">
        <v>272</v>
      </c>
      <c r="AA42" s="252" t="s">
        <v>272</v>
      </c>
      <c r="AB42" s="173">
        <f t="shared" si="5"/>
        <v>1.0625565596019659</v>
      </c>
      <c r="AC42" s="172" t="e">
        <f>VLOOKUP($B42,#REF!,3,FALSE)</f>
        <v>#REF!</v>
      </c>
      <c r="AD42" s="172" t="e">
        <f>VLOOKUP($B42,#REF!,5,FALSE)</f>
        <v>#REF!</v>
      </c>
      <c r="AE42" s="172" t="e">
        <f>VLOOKUP($B42,#REF!,6,FALSE)</f>
        <v>#REF!</v>
      </c>
      <c r="AF42" s="173" t="e">
        <f t="shared" si="6"/>
        <v>#REF!</v>
      </c>
      <c r="AG42" s="172" t="e">
        <f t="shared" si="140"/>
        <v>#REF!</v>
      </c>
      <c r="AH42" s="173" t="e">
        <f t="shared" si="141"/>
        <v>#REF!</v>
      </c>
      <c r="AI42" s="173" t="e">
        <f t="shared" si="142"/>
        <v>#REF!</v>
      </c>
      <c r="AJ42" s="189">
        <v>55798.075059629278</v>
      </c>
      <c r="AK42" s="189">
        <f>VLOOKUP($B42,'Average RAS salary'!$A$5:$D$62,4,FALSE)</f>
        <v>62351.535598982104</v>
      </c>
      <c r="AL42" s="189">
        <f t="shared" si="55"/>
        <v>6553.4605393528254</v>
      </c>
      <c r="AM42" s="173">
        <f t="shared" si="56"/>
        <v>0.11744958105363656</v>
      </c>
      <c r="AN42" s="189" t="e">
        <f t="shared" si="57"/>
        <v>#REF!</v>
      </c>
      <c r="AO42" s="189" t="e">
        <f t="shared" si="58"/>
        <v>#REF!</v>
      </c>
      <c r="AP42" s="189" t="e">
        <f t="shared" si="59"/>
        <v>#REF!</v>
      </c>
      <c r="AQ42" s="189" t="e">
        <f t="shared" si="135"/>
        <v>#REF!</v>
      </c>
      <c r="AR42" s="189" t="e">
        <f t="shared" si="60"/>
        <v>#REF!</v>
      </c>
      <c r="AS42" s="189" t="e">
        <f t="shared" si="143"/>
        <v>#REF!</v>
      </c>
      <c r="AT42" s="213" t="e">
        <f t="shared" si="61"/>
        <v>#REF!</v>
      </c>
      <c r="AU42" s="173" t="e">
        <f t="shared" si="62"/>
        <v>#REF!</v>
      </c>
      <c r="AV42" s="189"/>
      <c r="AW42" s="189">
        <f>VLOOKUP($B42,'Average RAS salary'!$A$5:$D$62,4,FALSE)</f>
        <v>62351.535598982104</v>
      </c>
      <c r="AX42" s="189" t="e">
        <f t="shared" si="144"/>
        <v>#REF!</v>
      </c>
      <c r="AY42" s="189">
        <v>54634.449358035199</v>
      </c>
      <c r="AZ42" s="189" t="e">
        <f t="shared" si="145"/>
        <v>#REF!</v>
      </c>
      <c r="BA42" s="189" t="e">
        <f t="shared" si="63"/>
        <v>#REF!</v>
      </c>
      <c r="BB42" s="189" t="e">
        <f t="shared" si="64"/>
        <v>#REF!</v>
      </c>
      <c r="BC42" s="189" t="e">
        <f t="shared" si="65"/>
        <v>#REF!</v>
      </c>
      <c r="BD42" s="213">
        <f t="shared" si="66"/>
        <v>-7717.0862409469046</v>
      </c>
      <c r="BE42" s="173">
        <f t="shared" ref="BE42:BE65" si="169">BD42/AW42</f>
        <v>-0.12376738065570413</v>
      </c>
      <c r="BF42" s="189"/>
      <c r="BG42" s="189">
        <f>VLOOKUP($B42,'Average RAS salary'!$A$5:$D$62,4,FALSE)</f>
        <v>62351.535598982104</v>
      </c>
      <c r="BH42" s="189" t="e">
        <f t="shared" si="68"/>
        <v>#REF!</v>
      </c>
      <c r="BI42" s="189" t="e">
        <f>$BG$65*#REF!</f>
        <v>#REF!</v>
      </c>
      <c r="BJ42" s="189" t="e">
        <f t="shared" si="69"/>
        <v>#REF!</v>
      </c>
      <c r="BK42" s="189" t="e">
        <f t="shared" si="146"/>
        <v>#REF!</v>
      </c>
      <c r="BL42" s="189" t="e">
        <f t="shared" si="147"/>
        <v>#REF!</v>
      </c>
      <c r="BM42" s="189" t="e">
        <f t="shared" si="70"/>
        <v>#REF!</v>
      </c>
      <c r="BN42" s="213" t="e">
        <f t="shared" si="71"/>
        <v>#REF!</v>
      </c>
      <c r="BO42" s="173" t="e">
        <f t="shared" si="72"/>
        <v>#REF!</v>
      </c>
      <c r="BP42" s="189"/>
      <c r="BQ42" s="189">
        <f>VLOOKUP($B42,'Average RAS salary'!$A$5:$D$62,4,FALSE)</f>
        <v>62351.535598982104</v>
      </c>
      <c r="BR42" s="189" t="e">
        <f t="shared" si="73"/>
        <v>#REF!</v>
      </c>
      <c r="BS42" s="189" t="e">
        <f>VLOOKUP($B42,#REF!,19,FALSE)*$BQ$65</f>
        <v>#REF!</v>
      </c>
      <c r="BT42" s="189" t="e">
        <f t="shared" si="74"/>
        <v>#REF!</v>
      </c>
      <c r="BU42" s="189" t="e">
        <f t="shared" si="75"/>
        <v>#REF!</v>
      </c>
      <c r="BV42" s="189" t="e">
        <f t="shared" si="76"/>
        <v>#REF!</v>
      </c>
      <c r="BW42" s="189" t="e">
        <f t="shared" si="77"/>
        <v>#REF!</v>
      </c>
      <c r="BX42" s="213" t="e">
        <f t="shared" si="78"/>
        <v>#REF!</v>
      </c>
      <c r="BY42" s="173" t="e">
        <f t="shared" si="79"/>
        <v>#REF!</v>
      </c>
      <c r="BZ42" s="189"/>
      <c r="CA42" s="189">
        <f>VLOOKUP($B42,'Average RAS salary'!$A$5:$D$62,4,FALSE)</f>
        <v>62351.535598982104</v>
      </c>
      <c r="CB42" s="189" t="e">
        <f t="shared" si="80"/>
        <v>#REF!</v>
      </c>
      <c r="CC42" s="189" t="e">
        <f>IF(VLOOKUP($B42,#REF!,7,FALSE)&gt;VLOOKUP($B42,#REF!,19,FALSE)*$CA$65,VLOOKUP($B42,#REF!,19,FALSE)*$CA$65,VLOOKUP($B42,#REF!,7,FALSE))</f>
        <v>#REF!</v>
      </c>
      <c r="CD42" s="189" t="e">
        <f t="shared" si="81"/>
        <v>#REF!</v>
      </c>
      <c r="CE42" s="189" t="e">
        <f t="shared" si="82"/>
        <v>#REF!</v>
      </c>
      <c r="CF42" s="189" t="e">
        <f t="shared" si="83"/>
        <v>#REF!</v>
      </c>
      <c r="CG42" s="189" t="e">
        <f t="shared" si="84"/>
        <v>#REF!</v>
      </c>
      <c r="CH42" s="213" t="e">
        <f t="shared" si="85"/>
        <v>#REF!</v>
      </c>
      <c r="CI42" s="173" t="e">
        <f t="shared" si="86"/>
        <v>#REF!</v>
      </c>
      <c r="CJ42" s="189"/>
      <c r="CK42" s="189">
        <f>VLOOKUP($B42,'Average RAS salary'!$A$5:$D$62,4,FALSE)</f>
        <v>62351.535598982104</v>
      </c>
      <c r="CL42" s="189" t="e">
        <f t="shared" si="87"/>
        <v>#REF!</v>
      </c>
      <c r="CM42" s="189" t="e">
        <f>IF($AY42&gt;VLOOKUP($B42,#REF!,19,FALSE)*$CK$65,VLOOKUP($B42,#REF!,19,FALSE)*$CK$65,$AY42)</f>
        <v>#REF!</v>
      </c>
      <c r="CN42" s="189" t="e">
        <f t="shared" si="88"/>
        <v>#REF!</v>
      </c>
      <c r="CO42" s="189" t="e">
        <f t="shared" si="89"/>
        <v>#REF!</v>
      </c>
      <c r="CP42" s="189" t="e">
        <f t="shared" si="90"/>
        <v>#REF!</v>
      </c>
      <c r="CQ42" s="189" t="e">
        <f t="shared" si="91"/>
        <v>#REF!</v>
      </c>
      <c r="CR42" s="213" t="e">
        <f t="shared" si="92"/>
        <v>#REF!</v>
      </c>
      <c r="CS42" s="173" t="e">
        <f t="shared" si="93"/>
        <v>#REF!</v>
      </c>
      <c r="CT42" s="1"/>
      <c r="CU42" s="254">
        <v>0.32974729041131789</v>
      </c>
      <c r="CV42" s="252">
        <v>9363.7033778747336</v>
      </c>
      <c r="CW42" s="254">
        <v>0.36752554714738783</v>
      </c>
      <c r="CX42" s="255">
        <v>11201.377235839343</v>
      </c>
      <c r="CY42" s="190" t="e">
        <f>VLOOKUP($B42,#REF!,13,FALSE)</f>
        <v>#REF!</v>
      </c>
      <c r="CZ42" s="172" t="e">
        <f>VLOOKUP($B42,#REF!,14,FALSE)</f>
        <v>#REF!</v>
      </c>
      <c r="DA42" s="190" t="e">
        <f>VLOOKUP($B42,#REF!,15,FALSE)</f>
        <v>#REF!</v>
      </c>
      <c r="DB42" s="189" t="e">
        <f>VLOOKUP($B42,#REF!,16,FALSE)</f>
        <v>#REF!</v>
      </c>
      <c r="DC42" s="190" t="e">
        <f t="shared" si="94"/>
        <v>#REF!</v>
      </c>
      <c r="DD42" s="190" t="e">
        <f t="shared" si="95"/>
        <v>#REF!</v>
      </c>
      <c r="DE42" s="190" t="e">
        <f t="shared" si="96"/>
        <v>#REF!</v>
      </c>
      <c r="DF42" s="190" t="e">
        <f t="shared" si="97"/>
        <v>#REF!</v>
      </c>
      <c r="DG42" s="1"/>
      <c r="DH42" s="253" t="s">
        <v>272</v>
      </c>
      <c r="DI42" s="253">
        <v>0</v>
      </c>
      <c r="DJ42" s="173">
        <f t="shared" si="98"/>
        <v>0</v>
      </c>
      <c r="DK42" s="172" t="e">
        <f>IF(VLOOKUP($B42,#REF!,6,FALSE)="Y","Yes","")</f>
        <v>#REF!</v>
      </c>
      <c r="DL42" s="172" t="e">
        <f>VLOOKUP($B42,#REF!,4,FALSE)</f>
        <v>#REF!</v>
      </c>
      <c r="DM42" s="173" t="e">
        <f t="shared" si="148"/>
        <v>#REF!</v>
      </c>
      <c r="DN42" s="1"/>
      <c r="DO42" s="172">
        <f t="shared" si="99"/>
        <v>128763248.89794444</v>
      </c>
      <c r="DP42" s="252">
        <v>127334837.47643548</v>
      </c>
      <c r="DQ42" s="172">
        <f t="shared" si="100"/>
        <v>-1428411.421508953</v>
      </c>
      <c r="DR42" s="173">
        <f t="shared" si="149"/>
        <v>-1.1093316095503987E-2</v>
      </c>
      <c r="DS42" s="172">
        <f t="shared" si="101"/>
        <v>127334837.47643548</v>
      </c>
      <c r="DT42" s="252">
        <v>129814160.738112</v>
      </c>
      <c r="DU42" s="172">
        <f t="shared" si="102"/>
        <v>2479323.2616765201</v>
      </c>
      <c r="DV42" s="173">
        <f t="shared" si="103"/>
        <v>1.9254898295099635E-2</v>
      </c>
      <c r="DW42" s="172">
        <f t="shared" si="104"/>
        <v>129814160.738112</v>
      </c>
      <c r="DX42" s="252">
        <v>130308917.55312188</v>
      </c>
      <c r="DY42" s="172">
        <f t="shared" si="105"/>
        <v>494756.81500987709</v>
      </c>
      <c r="DZ42" s="173">
        <f t="shared" si="106"/>
        <v>3.8423759826222846E-3</v>
      </c>
      <c r="EA42" s="172">
        <f t="shared" si="107"/>
        <v>130308917.55312188</v>
      </c>
      <c r="EB42" s="252">
        <v>128080427.81445622</v>
      </c>
      <c r="EC42" s="172">
        <f t="shared" si="108"/>
        <v>-2228489.7386656553</v>
      </c>
      <c r="ED42" s="173">
        <f t="shared" si="109"/>
        <v>-1.730687721643245E-2</v>
      </c>
      <c r="EE42" s="172">
        <f t="shared" si="110"/>
        <v>128080427.81445622</v>
      </c>
      <c r="EF42" s="252">
        <v>128837601.26143421</v>
      </c>
      <c r="EG42" s="172">
        <f t="shared" si="111"/>
        <v>757173.44697798789</v>
      </c>
      <c r="EH42" s="173">
        <f t="shared" si="112"/>
        <v>5.8803536991996119E-3</v>
      </c>
      <c r="EI42" s="172">
        <f t="shared" si="113"/>
        <v>128837601.26143421</v>
      </c>
      <c r="EJ42" s="252">
        <v>128763248.89794444</v>
      </c>
      <c r="EK42" s="172">
        <f t="shared" si="114"/>
        <v>-74352.36348977685</v>
      </c>
      <c r="EL42" s="173">
        <f t="shared" si="115"/>
        <v>-5.7743466498509427E-4</v>
      </c>
      <c r="EM42" s="172">
        <f t="shared" si="116"/>
        <v>0</v>
      </c>
      <c r="EN42" s="173">
        <f t="shared" si="150"/>
        <v>0</v>
      </c>
      <c r="EO42" s="214"/>
      <c r="EP42" s="273">
        <v>71954216.039627001</v>
      </c>
      <c r="EQ42" s="273">
        <v>69350838.619578689</v>
      </c>
      <c r="ER42" s="172">
        <f t="shared" si="117"/>
        <v>-2603377.4200483114</v>
      </c>
      <c r="ES42" s="173">
        <f t="shared" si="18"/>
        <v>-3.6181026815920912E-2</v>
      </c>
      <c r="ET42" s="273">
        <v>35207586.122243501</v>
      </c>
      <c r="EU42" s="273">
        <v>33934957.10131406</v>
      </c>
      <c r="EV42" s="172">
        <f t="shared" si="118"/>
        <v>-1272629.0209294409</v>
      </c>
      <c r="EW42" s="173">
        <f t="shared" si="19"/>
        <v>-3.6146443454282071E-2</v>
      </c>
      <c r="EX42" s="273">
        <v>24249828.540000003</v>
      </c>
      <c r="EY42" s="273">
        <v>23370301.080000002</v>
      </c>
      <c r="EZ42" s="172">
        <f t="shared" si="119"/>
        <v>-879527.46000000089</v>
      </c>
      <c r="FA42" s="173">
        <f t="shared" si="20"/>
        <v>-3.6269430051813503E-2</v>
      </c>
      <c r="FB42" s="172">
        <f t="shared" si="120"/>
        <v>69350838.619578689</v>
      </c>
      <c r="FC42" s="273">
        <v>70730311.858856216</v>
      </c>
      <c r="FD42" s="172">
        <f t="shared" si="121"/>
        <v>1379473.2392775267</v>
      </c>
      <c r="FE42" s="173">
        <f t="shared" si="21"/>
        <v>1.9891226504766196E-2</v>
      </c>
      <c r="FF42" s="172">
        <f t="shared" si="122"/>
        <v>33934957.10131406</v>
      </c>
      <c r="FG42" s="273">
        <v>34396868.729652524</v>
      </c>
      <c r="FH42" s="172">
        <f t="shared" si="123"/>
        <v>461911.6283384636</v>
      </c>
      <c r="FI42" s="173">
        <f t="shared" si="22"/>
        <v>1.3611675622851371E-2</v>
      </c>
      <c r="FJ42" s="172">
        <f t="shared" si="124"/>
        <v>70730311.858856216</v>
      </c>
      <c r="FK42" s="273">
        <v>70437389.910591438</v>
      </c>
      <c r="FL42" s="172">
        <f t="shared" si="125"/>
        <v>-292921.94826477766</v>
      </c>
      <c r="FM42" s="173">
        <f t="shared" si="23"/>
        <v>-4.1413920081295472E-3</v>
      </c>
      <c r="FN42" s="172">
        <f t="shared" si="126"/>
        <v>34396868.729652524</v>
      </c>
      <c r="FO42" s="273">
        <v>34298806.052684441</v>
      </c>
      <c r="FP42" s="172">
        <f t="shared" si="127"/>
        <v>-98062.676968082786</v>
      </c>
      <c r="FQ42" s="173">
        <f t="shared" si="24"/>
        <v>-2.8509187199224867E-3</v>
      </c>
      <c r="FR42" s="172">
        <f t="shared" si="128"/>
        <v>34298806.052684441</v>
      </c>
      <c r="FS42" s="273">
        <v>34759746.716801189</v>
      </c>
      <c r="FT42" s="172">
        <f t="shared" si="129"/>
        <v>460940.66411674768</v>
      </c>
      <c r="FU42" s="173">
        <f t="shared" si="25"/>
        <v>1.3438971123622292E-2</v>
      </c>
      <c r="FV42" s="172">
        <f t="shared" si="26"/>
        <v>23370301.080000002</v>
      </c>
      <c r="FW42" s="273">
        <v>25395539.760000002</v>
      </c>
      <c r="FX42" s="172">
        <f t="shared" si="130"/>
        <v>2025238.6799999997</v>
      </c>
      <c r="FY42" s="173">
        <f t="shared" si="27"/>
        <v>8.6658647360481483E-2</v>
      </c>
      <c r="FZ42" s="214"/>
      <c r="GA42" s="172">
        <f t="shared" si="151"/>
        <v>71954216.039627001</v>
      </c>
      <c r="GB42" s="172">
        <f t="shared" si="152"/>
        <v>-2603377.4200483114</v>
      </c>
      <c r="GC42" s="172">
        <f t="shared" si="153"/>
        <v>1379473.2392775267</v>
      </c>
      <c r="GD42" s="172">
        <f t="shared" si="154"/>
        <v>-292921.94826477766</v>
      </c>
      <c r="GE42" s="172">
        <f t="shared" si="155"/>
        <v>-1516826.1290355623</v>
      </c>
      <c r="GF42" s="172">
        <f t="shared" si="156"/>
        <v>70437389.910591438</v>
      </c>
      <c r="GG42" s="173">
        <f t="shared" si="157"/>
        <v>-2.1080434372326536E-2</v>
      </c>
      <c r="GH42" s="244"/>
      <c r="GI42" s="172">
        <f t="shared" si="158"/>
        <v>35207586.122243501</v>
      </c>
      <c r="GJ42" s="172">
        <f t="shared" si="159"/>
        <v>-1272629.0209294409</v>
      </c>
      <c r="GK42" s="172">
        <f t="shared" si="160"/>
        <v>461911.6283384636</v>
      </c>
      <c r="GL42" s="172">
        <f t="shared" si="161"/>
        <v>-98062.676968082786</v>
      </c>
      <c r="GM42" s="172">
        <f t="shared" si="162"/>
        <v>460940.66411674768</v>
      </c>
      <c r="GN42" s="172">
        <f t="shared" si="163"/>
        <v>-447839.40544231236</v>
      </c>
      <c r="GO42" s="172">
        <f t="shared" si="164"/>
        <v>34759746.716801189</v>
      </c>
      <c r="GP42" s="173">
        <f t="shared" si="165"/>
        <v>-1.2719969039836437E-2</v>
      </c>
      <c r="GQ42" s="214"/>
      <c r="GR42" s="172">
        <f t="shared" si="166"/>
        <v>24249828.540000003</v>
      </c>
      <c r="GS42" s="172">
        <f t="shared" si="167"/>
        <v>-879527.46000000089</v>
      </c>
      <c r="GT42" s="172">
        <f t="shared" si="168"/>
        <v>2025238.6799999997</v>
      </c>
      <c r="GU42" s="172">
        <f t="shared" si="131"/>
        <v>1145711.2199999988</v>
      </c>
      <c r="GV42" s="172">
        <f t="shared" si="132"/>
        <v>25395539.760000002</v>
      </c>
      <c r="GW42" s="173">
        <f t="shared" si="133"/>
        <v>4.7246157559842225E-2</v>
      </c>
      <c r="GX42" s="214"/>
      <c r="GY42" s="273">
        <v>-2648381.8039260772</v>
      </c>
      <c r="GZ42" s="172" t="e">
        <f t="shared" si="134"/>
        <v>#REF!</v>
      </c>
      <c r="HA42" s="172" t="e">
        <f>-VLOOKUP($B42,#REF!,23,FALSE)</f>
        <v>#REF!</v>
      </c>
    </row>
    <row r="43" spans="1:209" ht="15" customHeight="1" x14ac:dyDescent="0.45">
      <c r="A43" s="148">
        <v>4</v>
      </c>
      <c r="B43" s="212" t="s">
        <v>59</v>
      </c>
      <c r="C43" s="172">
        <v>122736644.19729128</v>
      </c>
      <c r="D43" s="173">
        <f t="shared" si="0"/>
        <v>8.5204907739830998E-2</v>
      </c>
      <c r="E43" s="1"/>
      <c r="F43" s="252">
        <v>162426581.60757881</v>
      </c>
      <c r="G43" s="173">
        <f t="shared" si="1"/>
        <v>6.911415020085046E-2</v>
      </c>
      <c r="H43" s="173">
        <f t="shared" si="46"/>
        <v>0.81115222155849431</v>
      </c>
      <c r="I43" s="172" t="e">
        <f>VLOOKUP($B43,#REF!,24,FALSE)</f>
        <v>#REF!</v>
      </c>
      <c r="J43" s="173" t="e">
        <f t="shared" si="136"/>
        <v>#REF!</v>
      </c>
      <c r="K43" s="173" t="e">
        <f t="shared" si="47"/>
        <v>#REF!</v>
      </c>
      <c r="L43" s="172" t="e">
        <f t="shared" si="48"/>
        <v>#REF!</v>
      </c>
      <c r="M43" s="173" t="e">
        <f t="shared" si="137"/>
        <v>#REF!</v>
      </c>
      <c r="N43" s="173" t="e">
        <f t="shared" si="50"/>
        <v>#REF!</v>
      </c>
      <c r="O43" s="176"/>
      <c r="P43" s="253">
        <v>1226</v>
      </c>
      <c r="Q43" s="173">
        <f t="shared" si="138"/>
        <v>6.8194459895427745E-2</v>
      </c>
      <c r="R43" s="172" t="e">
        <f>VLOOKUP($B43,#REF!,4,FALSE)</f>
        <v>#REF!</v>
      </c>
      <c r="S43" s="173" t="e">
        <f t="shared" si="139"/>
        <v>#REF!</v>
      </c>
      <c r="T43" s="172" t="e">
        <f t="shared" si="51"/>
        <v>#REF!</v>
      </c>
      <c r="U43" s="173" t="e">
        <f t="shared" si="52"/>
        <v>#REF!</v>
      </c>
      <c r="V43" s="173" t="e">
        <f t="shared" si="53"/>
        <v>#REF!</v>
      </c>
      <c r="W43" s="1"/>
      <c r="X43" s="189">
        <f>VLOOKUP($B43,'Average RAS salary'!$A$5:$D$62,4,FALSE)</f>
        <v>66759.179419769454</v>
      </c>
      <c r="Y43" s="253">
        <v>68673.443023600019</v>
      </c>
      <c r="Z43" s="252" t="s">
        <v>272</v>
      </c>
      <c r="AA43" s="252" t="s">
        <v>272</v>
      </c>
      <c r="AB43" s="173">
        <f t="shared" si="5"/>
        <v>1.1772075402192732</v>
      </c>
      <c r="AC43" s="172" t="e">
        <f>VLOOKUP($B43,#REF!,3,FALSE)</f>
        <v>#REF!</v>
      </c>
      <c r="AD43" s="172" t="e">
        <f>VLOOKUP($B43,#REF!,5,FALSE)</f>
        <v>#REF!</v>
      </c>
      <c r="AE43" s="172" t="e">
        <f>VLOOKUP($B43,#REF!,6,FALSE)</f>
        <v>#REF!</v>
      </c>
      <c r="AF43" s="173" t="e">
        <f t="shared" si="6"/>
        <v>#REF!</v>
      </c>
      <c r="AG43" s="172" t="e">
        <f t="shared" si="140"/>
        <v>#REF!</v>
      </c>
      <c r="AH43" s="173" t="e">
        <f t="shared" si="141"/>
        <v>#REF!</v>
      </c>
      <c r="AI43" s="173" t="e">
        <f t="shared" si="142"/>
        <v>#REF!</v>
      </c>
      <c r="AJ43" s="189">
        <v>62265.692297747511</v>
      </c>
      <c r="AK43" s="189">
        <f>VLOOKUP($B43,'Average RAS salary'!$A$5:$D$62,4,FALSE)</f>
        <v>66759.179419769454</v>
      </c>
      <c r="AL43" s="189">
        <f t="shared" si="55"/>
        <v>4493.4871220219429</v>
      </c>
      <c r="AM43" s="173">
        <f t="shared" si="56"/>
        <v>7.2166340021316958E-2</v>
      </c>
      <c r="AN43" s="189" t="e">
        <f t="shared" si="57"/>
        <v>#REF!</v>
      </c>
      <c r="AO43" s="189" t="e">
        <f t="shared" si="58"/>
        <v>#REF!</v>
      </c>
      <c r="AP43" s="189" t="e">
        <f t="shared" si="59"/>
        <v>#REF!</v>
      </c>
      <c r="AQ43" s="189" t="e">
        <f t="shared" si="135"/>
        <v>#REF!</v>
      </c>
      <c r="AR43" s="189" t="e">
        <f t="shared" si="60"/>
        <v>#REF!</v>
      </c>
      <c r="AS43" s="189" t="e">
        <f t="shared" si="143"/>
        <v>#REF!</v>
      </c>
      <c r="AT43" s="213" t="e">
        <f t="shared" si="61"/>
        <v>#REF!</v>
      </c>
      <c r="AU43" s="173" t="e">
        <f t="shared" si="62"/>
        <v>#REF!</v>
      </c>
      <c r="AV43" s="189"/>
      <c r="AW43" s="189">
        <f>VLOOKUP($B43,'Average RAS salary'!$A$5:$D$62,4,FALSE)</f>
        <v>66759.179419769454</v>
      </c>
      <c r="AX43" s="189" t="e">
        <f t="shared" si="144"/>
        <v>#REF!</v>
      </c>
      <c r="AY43" s="189">
        <v>60692.357198286001</v>
      </c>
      <c r="AZ43" s="189" t="e">
        <f t="shared" si="145"/>
        <v>#REF!</v>
      </c>
      <c r="BA43" s="189" t="e">
        <f t="shared" si="63"/>
        <v>#REF!</v>
      </c>
      <c r="BB43" s="189" t="e">
        <f t="shared" si="64"/>
        <v>#REF!</v>
      </c>
      <c r="BC43" s="189" t="e">
        <f t="shared" si="65"/>
        <v>#REF!</v>
      </c>
      <c r="BD43" s="213">
        <f t="shared" si="66"/>
        <v>-6066.8222214834532</v>
      </c>
      <c r="BE43" s="173">
        <f t="shared" si="169"/>
        <v>-9.0876225175513164E-2</v>
      </c>
      <c r="BF43" s="189"/>
      <c r="BG43" s="189">
        <f>VLOOKUP($B43,'Average RAS salary'!$A$5:$D$62,4,FALSE)</f>
        <v>66759.179419769454</v>
      </c>
      <c r="BH43" s="189" t="e">
        <f t="shared" si="68"/>
        <v>#REF!</v>
      </c>
      <c r="BI43" s="189" t="e">
        <f>$BG$65*#REF!</f>
        <v>#REF!</v>
      </c>
      <c r="BJ43" s="189" t="e">
        <f t="shared" si="69"/>
        <v>#REF!</v>
      </c>
      <c r="BK43" s="189" t="e">
        <f t="shared" si="146"/>
        <v>#REF!</v>
      </c>
      <c r="BL43" s="189" t="e">
        <f t="shared" si="147"/>
        <v>#REF!</v>
      </c>
      <c r="BM43" s="189" t="e">
        <f t="shared" si="70"/>
        <v>#REF!</v>
      </c>
      <c r="BN43" s="213" t="e">
        <f t="shared" si="71"/>
        <v>#REF!</v>
      </c>
      <c r="BO43" s="173" t="e">
        <f t="shared" si="72"/>
        <v>#REF!</v>
      </c>
      <c r="BP43" s="189"/>
      <c r="BQ43" s="189">
        <f>VLOOKUP($B43,'Average RAS salary'!$A$5:$D$62,4,FALSE)</f>
        <v>66759.179419769454</v>
      </c>
      <c r="BR43" s="189" t="e">
        <f t="shared" si="73"/>
        <v>#REF!</v>
      </c>
      <c r="BS43" s="189" t="e">
        <f>VLOOKUP($B43,#REF!,19,FALSE)*$BQ$65</f>
        <v>#REF!</v>
      </c>
      <c r="BT43" s="189" t="e">
        <f t="shared" si="74"/>
        <v>#REF!</v>
      </c>
      <c r="BU43" s="189" t="e">
        <f t="shared" si="75"/>
        <v>#REF!</v>
      </c>
      <c r="BV43" s="189" t="e">
        <f t="shared" si="76"/>
        <v>#REF!</v>
      </c>
      <c r="BW43" s="189" t="e">
        <f t="shared" si="77"/>
        <v>#REF!</v>
      </c>
      <c r="BX43" s="213" t="e">
        <f t="shared" si="78"/>
        <v>#REF!</v>
      </c>
      <c r="BY43" s="173" t="e">
        <f t="shared" si="79"/>
        <v>#REF!</v>
      </c>
      <c r="BZ43" s="189"/>
      <c r="CA43" s="189">
        <f>VLOOKUP($B43,'Average RAS salary'!$A$5:$D$62,4,FALSE)</f>
        <v>66759.179419769454</v>
      </c>
      <c r="CB43" s="189" t="e">
        <f t="shared" si="80"/>
        <v>#REF!</v>
      </c>
      <c r="CC43" s="189" t="e">
        <f>IF(VLOOKUP($B43,#REF!,7,FALSE)&gt;VLOOKUP($B43,#REF!,19,FALSE)*$CA$65,VLOOKUP($B43,#REF!,19,FALSE)*$CA$65,VLOOKUP($B43,#REF!,7,FALSE))</f>
        <v>#REF!</v>
      </c>
      <c r="CD43" s="189" t="e">
        <f t="shared" si="81"/>
        <v>#REF!</v>
      </c>
      <c r="CE43" s="189" t="e">
        <f t="shared" si="82"/>
        <v>#REF!</v>
      </c>
      <c r="CF43" s="189" t="e">
        <f t="shared" si="83"/>
        <v>#REF!</v>
      </c>
      <c r="CG43" s="189" t="e">
        <f t="shared" si="84"/>
        <v>#REF!</v>
      </c>
      <c r="CH43" s="213" t="e">
        <f t="shared" si="85"/>
        <v>#REF!</v>
      </c>
      <c r="CI43" s="173" t="e">
        <f t="shared" si="86"/>
        <v>#REF!</v>
      </c>
      <c r="CJ43" s="189"/>
      <c r="CK43" s="189">
        <f>VLOOKUP($B43,'Average RAS salary'!$A$5:$D$62,4,FALSE)</f>
        <v>66759.179419769454</v>
      </c>
      <c r="CL43" s="189" t="e">
        <f t="shared" si="87"/>
        <v>#REF!</v>
      </c>
      <c r="CM43" s="189" t="e">
        <f>IF($AY43&gt;VLOOKUP($B43,#REF!,19,FALSE)*$CK$65,VLOOKUP($B43,#REF!,19,FALSE)*$CK$65,$AY43)</f>
        <v>#REF!</v>
      </c>
      <c r="CN43" s="189" t="e">
        <f t="shared" si="88"/>
        <v>#REF!</v>
      </c>
      <c r="CO43" s="189" t="e">
        <f t="shared" si="89"/>
        <v>#REF!</v>
      </c>
      <c r="CP43" s="189" t="e">
        <f t="shared" si="90"/>
        <v>#REF!</v>
      </c>
      <c r="CQ43" s="189" t="e">
        <f t="shared" si="91"/>
        <v>#REF!</v>
      </c>
      <c r="CR43" s="213" t="e">
        <f t="shared" si="92"/>
        <v>#REF!</v>
      </c>
      <c r="CS43" s="173" t="e">
        <f t="shared" si="93"/>
        <v>#REF!</v>
      </c>
      <c r="CT43" s="1"/>
      <c r="CU43" s="254">
        <v>0.50341291046749215</v>
      </c>
      <c r="CV43" s="252">
        <v>10112.433145454554</v>
      </c>
      <c r="CW43" s="254">
        <v>0.48605314265026667</v>
      </c>
      <c r="CX43" s="255">
        <v>11054.059231639858</v>
      </c>
      <c r="CY43" s="190" t="e">
        <f>VLOOKUP($B43,#REF!,13,FALSE)</f>
        <v>#REF!</v>
      </c>
      <c r="CZ43" s="172" t="e">
        <f>VLOOKUP($B43,#REF!,14,FALSE)</f>
        <v>#REF!</v>
      </c>
      <c r="DA43" s="190" t="e">
        <f>VLOOKUP($B43,#REF!,15,FALSE)</f>
        <v>#REF!</v>
      </c>
      <c r="DB43" s="189" t="e">
        <f>VLOOKUP($B43,#REF!,16,FALSE)</f>
        <v>#REF!</v>
      </c>
      <c r="DC43" s="190" t="e">
        <f t="shared" si="94"/>
        <v>#REF!</v>
      </c>
      <c r="DD43" s="190" t="e">
        <f t="shared" si="95"/>
        <v>#REF!</v>
      </c>
      <c r="DE43" s="190" t="e">
        <f t="shared" si="96"/>
        <v>#REF!</v>
      </c>
      <c r="DF43" s="190" t="e">
        <f t="shared" si="97"/>
        <v>#REF!</v>
      </c>
      <c r="DG43" s="1"/>
      <c r="DH43" s="253" t="s">
        <v>272</v>
      </c>
      <c r="DI43" s="253">
        <v>0</v>
      </c>
      <c r="DJ43" s="173">
        <f t="shared" si="98"/>
        <v>0</v>
      </c>
      <c r="DK43" s="172" t="e">
        <f>IF(VLOOKUP($B43,#REF!,6,FALSE)="Y","Yes","")</f>
        <v>#REF!</v>
      </c>
      <c r="DL43" s="172" t="e">
        <f>VLOOKUP($B43,#REF!,4,FALSE)</f>
        <v>#REF!</v>
      </c>
      <c r="DM43" s="173" t="e">
        <f t="shared" si="148"/>
        <v>#REF!</v>
      </c>
      <c r="DN43" s="1"/>
      <c r="DO43" s="172">
        <f t="shared" si="99"/>
        <v>162426581.60757881</v>
      </c>
      <c r="DP43" s="252">
        <v>162301249.19187531</v>
      </c>
      <c r="DQ43" s="172">
        <f t="shared" si="100"/>
        <v>-125332.41570350528</v>
      </c>
      <c r="DR43" s="173">
        <f t="shared" si="149"/>
        <v>-7.7162502875488255E-4</v>
      </c>
      <c r="DS43" s="172">
        <f t="shared" si="101"/>
        <v>162301249.19187531</v>
      </c>
      <c r="DT43" s="252">
        <v>165607574.67880684</v>
      </c>
      <c r="DU43" s="172">
        <f t="shared" si="102"/>
        <v>3306325.4869315326</v>
      </c>
      <c r="DV43" s="173">
        <f t="shared" si="103"/>
        <v>2.0355815250237708E-2</v>
      </c>
      <c r="DW43" s="172">
        <f t="shared" si="104"/>
        <v>165607574.67880684</v>
      </c>
      <c r="DX43" s="252">
        <v>165916179.1629152</v>
      </c>
      <c r="DY43" s="172">
        <f t="shared" si="105"/>
        <v>308604.48410835862</v>
      </c>
      <c r="DZ43" s="173">
        <f t="shared" si="106"/>
        <v>1.8999629312765095E-3</v>
      </c>
      <c r="EA43" s="172">
        <f t="shared" si="107"/>
        <v>165916179.1629152</v>
      </c>
      <c r="EB43" s="252">
        <v>161617522.30324355</v>
      </c>
      <c r="EC43" s="172">
        <f t="shared" si="108"/>
        <v>-4298656.8596716523</v>
      </c>
      <c r="ED43" s="173">
        <f t="shared" si="109"/>
        <v>-2.6465230118904857E-2</v>
      </c>
      <c r="EE43" s="172">
        <f t="shared" si="110"/>
        <v>161617522.30324355</v>
      </c>
      <c r="EF43" s="252">
        <v>162419158.43968138</v>
      </c>
      <c r="EG43" s="172">
        <f t="shared" si="111"/>
        <v>801636.13643783331</v>
      </c>
      <c r="EH43" s="173">
        <f t="shared" si="112"/>
        <v>4.9353752846598665E-3</v>
      </c>
      <c r="EI43" s="172">
        <f t="shared" si="113"/>
        <v>162419158.43968138</v>
      </c>
      <c r="EJ43" s="252">
        <v>162426581.60757881</v>
      </c>
      <c r="EK43" s="172">
        <f t="shared" si="114"/>
        <v>7423.1678974330425</v>
      </c>
      <c r="EL43" s="173">
        <f t="shared" si="115"/>
        <v>4.5701681485653318E-5</v>
      </c>
      <c r="EM43" s="172">
        <f t="shared" si="116"/>
        <v>0</v>
      </c>
      <c r="EN43" s="173">
        <f t="shared" si="150"/>
        <v>0</v>
      </c>
      <c r="EO43" s="214"/>
      <c r="EP43" s="273">
        <v>84387946.45073469</v>
      </c>
      <c r="EQ43" s="273">
        <v>81709682.172814295</v>
      </c>
      <c r="ER43" s="172">
        <f t="shared" si="117"/>
        <v>-2678264.2779203951</v>
      </c>
      <c r="ES43" s="173">
        <f t="shared" si="18"/>
        <v>-3.1737521655227786E-2</v>
      </c>
      <c r="ET43" s="273">
        <v>54835615.455300897</v>
      </c>
      <c r="EU43" s="273">
        <v>53094460.921118632</v>
      </c>
      <c r="EV43" s="172">
        <f t="shared" si="118"/>
        <v>-1741154.5341822654</v>
      </c>
      <c r="EW43" s="173">
        <f t="shared" si="19"/>
        <v>-3.1752256626016405E-2</v>
      </c>
      <c r="EX43" s="273">
        <v>25673825.380000003</v>
      </c>
      <c r="EY43" s="273">
        <v>24857121.310000002</v>
      </c>
      <c r="EZ43" s="172">
        <f t="shared" si="119"/>
        <v>-816704.0700000003</v>
      </c>
      <c r="FA43" s="173">
        <f t="shared" si="20"/>
        <v>-3.1810766721044055E-2</v>
      </c>
      <c r="FB43" s="172">
        <f t="shared" si="120"/>
        <v>81709682.172814295</v>
      </c>
      <c r="FC43" s="273">
        <v>83334769.615026802</v>
      </c>
      <c r="FD43" s="172">
        <f t="shared" si="121"/>
        <v>1625087.4422125071</v>
      </c>
      <c r="FE43" s="173">
        <f t="shared" si="21"/>
        <v>1.9888554195762024E-2</v>
      </c>
      <c r="FF43" s="172">
        <f t="shared" si="122"/>
        <v>53094460.921118632</v>
      </c>
      <c r="FG43" s="273">
        <v>53908709.61800313</v>
      </c>
      <c r="FH43" s="172">
        <f t="shared" si="123"/>
        <v>814248.696884498</v>
      </c>
      <c r="FI43" s="173">
        <f t="shared" si="22"/>
        <v>1.5335850157593856E-2</v>
      </c>
      <c r="FJ43" s="172">
        <f t="shared" si="124"/>
        <v>83334769.615026802</v>
      </c>
      <c r="FK43" s="273">
        <v>83727332.647929206</v>
      </c>
      <c r="FL43" s="172">
        <f t="shared" si="125"/>
        <v>392563.03290240467</v>
      </c>
      <c r="FM43" s="173">
        <f t="shared" si="23"/>
        <v>4.7106752045501339E-3</v>
      </c>
      <c r="FN43" s="172">
        <f t="shared" si="126"/>
        <v>53908709.61800313</v>
      </c>
      <c r="FO43" s="273">
        <v>54105415.243002765</v>
      </c>
      <c r="FP43" s="172">
        <f t="shared" si="127"/>
        <v>196705.62499963492</v>
      </c>
      <c r="FQ43" s="173">
        <f t="shared" si="24"/>
        <v>3.648865394729165E-3</v>
      </c>
      <c r="FR43" s="172">
        <f t="shared" si="128"/>
        <v>54105415.243002765</v>
      </c>
      <c r="FS43" s="273">
        <v>54276208.619851038</v>
      </c>
      <c r="FT43" s="172">
        <f t="shared" si="129"/>
        <v>170793.37684827298</v>
      </c>
      <c r="FU43" s="173">
        <f t="shared" si="25"/>
        <v>3.1566780530412988E-3</v>
      </c>
      <c r="FV43" s="172">
        <f t="shared" si="26"/>
        <v>24857121.310000002</v>
      </c>
      <c r="FW43" s="273">
        <v>27011205.82</v>
      </c>
      <c r="FX43" s="172">
        <f t="shared" si="130"/>
        <v>2154084.5099999979</v>
      </c>
      <c r="FY43" s="173">
        <f t="shared" si="27"/>
        <v>8.6658647360481414E-2</v>
      </c>
      <c r="FZ43" s="214"/>
      <c r="GA43" s="172">
        <f t="shared" si="151"/>
        <v>84387946.45073469</v>
      </c>
      <c r="GB43" s="172">
        <f t="shared" si="152"/>
        <v>-2678264.2779203951</v>
      </c>
      <c r="GC43" s="172">
        <f t="shared" si="153"/>
        <v>1625087.4422125071</v>
      </c>
      <c r="GD43" s="172">
        <f t="shared" si="154"/>
        <v>392563.03290240467</v>
      </c>
      <c r="GE43" s="172">
        <f t="shared" si="155"/>
        <v>-660613.80280548334</v>
      </c>
      <c r="GF43" s="172">
        <f t="shared" si="156"/>
        <v>83727332.647929206</v>
      </c>
      <c r="GG43" s="173">
        <f t="shared" si="157"/>
        <v>-7.8282957530095461E-3</v>
      </c>
      <c r="GH43" s="244"/>
      <c r="GI43" s="172">
        <f t="shared" si="158"/>
        <v>54835615.455300897</v>
      </c>
      <c r="GJ43" s="172">
        <f t="shared" si="159"/>
        <v>-1741154.5341822654</v>
      </c>
      <c r="GK43" s="172">
        <f t="shared" si="160"/>
        <v>814248.696884498</v>
      </c>
      <c r="GL43" s="172">
        <f t="shared" si="161"/>
        <v>196705.62499963492</v>
      </c>
      <c r="GM43" s="172">
        <f t="shared" si="162"/>
        <v>170793.37684827298</v>
      </c>
      <c r="GN43" s="172">
        <f t="shared" si="163"/>
        <v>-559406.8354498595</v>
      </c>
      <c r="GO43" s="172">
        <f t="shared" si="164"/>
        <v>54276208.619851038</v>
      </c>
      <c r="GP43" s="173">
        <f t="shared" si="165"/>
        <v>-1.0201523787142655E-2</v>
      </c>
      <c r="GQ43" s="214"/>
      <c r="GR43" s="172">
        <f t="shared" si="166"/>
        <v>25673825.380000003</v>
      </c>
      <c r="GS43" s="172">
        <f t="shared" si="167"/>
        <v>-816704.0700000003</v>
      </c>
      <c r="GT43" s="172">
        <f t="shared" si="168"/>
        <v>2154084.5099999979</v>
      </c>
      <c r="GU43" s="172">
        <f t="shared" si="131"/>
        <v>1337380.4399999976</v>
      </c>
      <c r="GV43" s="172">
        <f t="shared" si="132"/>
        <v>27011205.82</v>
      </c>
      <c r="GW43" s="173">
        <f t="shared" si="133"/>
        <v>5.2091202623891865E-2</v>
      </c>
      <c r="GX43" s="214"/>
      <c r="GY43" s="273">
        <v>-2470805.6784567731</v>
      </c>
      <c r="GZ43" s="172" t="e">
        <f t="shared" si="134"/>
        <v>#REF!</v>
      </c>
      <c r="HA43" s="172" t="e">
        <f>-VLOOKUP($B43,#REF!,23,FALSE)</f>
        <v>#REF!</v>
      </c>
    </row>
    <row r="44" spans="1:209" ht="15" customHeight="1" x14ac:dyDescent="0.45">
      <c r="A44" s="148">
        <v>4</v>
      </c>
      <c r="B44" s="215" t="s">
        <v>60</v>
      </c>
      <c r="C44" s="172">
        <v>52988157.306345917</v>
      </c>
      <c r="D44" s="173">
        <f t="shared" si="0"/>
        <v>3.6784866362596015E-2</v>
      </c>
      <c r="E44" s="1"/>
      <c r="F44" s="252">
        <v>67359434.615215853</v>
      </c>
      <c r="G44" s="173">
        <f t="shared" si="1"/>
        <v>2.8662119434908859E-2</v>
      </c>
      <c r="H44" s="173">
        <f t="shared" si="46"/>
        <v>0.77918237223918219</v>
      </c>
      <c r="I44" s="172" t="e">
        <f>VLOOKUP($B44,#REF!,24,FALSE)</f>
        <v>#REF!</v>
      </c>
      <c r="J44" s="173" t="e">
        <f t="shared" si="136"/>
        <v>#REF!</v>
      </c>
      <c r="K44" s="173" t="e">
        <f t="shared" si="47"/>
        <v>#REF!</v>
      </c>
      <c r="L44" s="172" t="e">
        <f t="shared" si="48"/>
        <v>#REF!</v>
      </c>
      <c r="M44" s="173" t="e">
        <f t="shared" si="137"/>
        <v>#REF!</v>
      </c>
      <c r="N44" s="173" t="e">
        <f t="shared" si="50"/>
        <v>#REF!</v>
      </c>
      <c r="O44" s="176"/>
      <c r="P44" s="253">
        <v>386</v>
      </c>
      <c r="Q44" s="173">
        <f t="shared" si="138"/>
        <v>2.1470686394482144E-2</v>
      </c>
      <c r="R44" s="172" t="e">
        <f>VLOOKUP($B44,#REF!,4,FALSE)</f>
        <v>#REF!</v>
      </c>
      <c r="S44" s="173" t="e">
        <f t="shared" si="139"/>
        <v>#REF!</v>
      </c>
      <c r="T44" s="172" t="e">
        <f t="shared" si="51"/>
        <v>#REF!</v>
      </c>
      <c r="U44" s="173" t="e">
        <f t="shared" si="52"/>
        <v>#REF!</v>
      </c>
      <c r="V44" s="173" t="e">
        <f t="shared" si="53"/>
        <v>#REF!</v>
      </c>
      <c r="W44" s="1"/>
      <c r="X44" s="189">
        <f>VLOOKUP($B44,'Average RAS salary'!$A$5:$D$62,4,FALSE)</f>
        <v>93630.092664092677</v>
      </c>
      <c r="Y44" s="253">
        <v>99405.50398131815</v>
      </c>
      <c r="Z44" s="252" t="s">
        <v>272</v>
      </c>
      <c r="AA44" s="252" t="s">
        <v>272</v>
      </c>
      <c r="AB44" s="173">
        <f t="shared" si="5"/>
        <v>1.7040198317403397</v>
      </c>
      <c r="AC44" s="172" t="e">
        <f>VLOOKUP($B44,#REF!,3,FALSE)</f>
        <v>#REF!</v>
      </c>
      <c r="AD44" s="172" t="e">
        <f>VLOOKUP($B44,#REF!,5,FALSE)</f>
        <v>#REF!</v>
      </c>
      <c r="AE44" s="172" t="e">
        <f>VLOOKUP($B44,#REF!,6,FALSE)</f>
        <v>#REF!</v>
      </c>
      <c r="AF44" s="173" t="e">
        <f t="shared" si="6"/>
        <v>#REF!</v>
      </c>
      <c r="AG44" s="172" t="e">
        <f t="shared" si="140"/>
        <v>#REF!</v>
      </c>
      <c r="AH44" s="173" t="e">
        <f t="shared" si="141"/>
        <v>#REF!</v>
      </c>
      <c r="AI44" s="173" t="e">
        <f t="shared" si="142"/>
        <v>#REF!</v>
      </c>
      <c r="AJ44" s="189">
        <v>89291.176938369783</v>
      </c>
      <c r="AK44" s="189">
        <f>VLOOKUP($B44,'Average RAS salary'!$A$5:$D$62,4,FALSE)</f>
        <v>93630.092664092677</v>
      </c>
      <c r="AL44" s="189">
        <f t="shared" si="55"/>
        <v>4338.9157257228944</v>
      </c>
      <c r="AM44" s="173">
        <f t="shared" si="56"/>
        <v>4.8592883132425102E-2</v>
      </c>
      <c r="AN44" s="189" t="e">
        <f t="shared" si="57"/>
        <v>#REF!</v>
      </c>
      <c r="AO44" s="189" t="e">
        <f t="shared" si="58"/>
        <v>#REF!</v>
      </c>
      <c r="AP44" s="189" t="e">
        <f t="shared" si="59"/>
        <v>#REF!</v>
      </c>
      <c r="AQ44" s="189" t="e">
        <f t="shared" si="135"/>
        <v>#REF!</v>
      </c>
      <c r="AR44" s="189" t="e">
        <f t="shared" si="60"/>
        <v>#REF!</v>
      </c>
      <c r="AS44" s="189" t="e">
        <f t="shared" si="143"/>
        <v>#REF!</v>
      </c>
      <c r="AT44" s="213" t="e">
        <f t="shared" si="61"/>
        <v>#REF!</v>
      </c>
      <c r="AU44" s="173" t="e">
        <f t="shared" si="62"/>
        <v>#REF!</v>
      </c>
      <c r="AV44" s="189"/>
      <c r="AW44" s="189">
        <f>VLOOKUP($B44,'Average RAS salary'!$A$5:$D$62,4,FALSE)</f>
        <v>93630.092664092677</v>
      </c>
      <c r="AX44" s="189" t="e">
        <f t="shared" si="144"/>
        <v>#REF!</v>
      </c>
      <c r="AY44" s="189">
        <v>86832.515976276831</v>
      </c>
      <c r="AZ44" s="189" t="e">
        <f t="shared" si="145"/>
        <v>#REF!</v>
      </c>
      <c r="BA44" s="189" t="e">
        <f t="shared" si="63"/>
        <v>#REF!</v>
      </c>
      <c r="BB44" s="189" t="e">
        <f t="shared" si="64"/>
        <v>#REF!</v>
      </c>
      <c r="BC44" s="189" t="e">
        <f t="shared" si="65"/>
        <v>#REF!</v>
      </c>
      <c r="BD44" s="213">
        <f t="shared" si="66"/>
        <v>-6797.5766878158465</v>
      </c>
      <c r="BE44" s="173">
        <f t="shared" si="169"/>
        <v>-7.2600341347549793E-2</v>
      </c>
      <c r="BF44" s="189"/>
      <c r="BG44" s="189">
        <f>VLOOKUP($B44,'Average RAS salary'!$A$5:$D$62,4,FALSE)</f>
        <v>93630.092664092677</v>
      </c>
      <c r="BH44" s="189" t="e">
        <f t="shared" si="68"/>
        <v>#REF!</v>
      </c>
      <c r="BI44" s="189" t="e">
        <f>$BG$65*#REF!</f>
        <v>#REF!</v>
      </c>
      <c r="BJ44" s="189" t="e">
        <f t="shared" si="69"/>
        <v>#REF!</v>
      </c>
      <c r="BK44" s="189" t="e">
        <f t="shared" si="146"/>
        <v>#REF!</v>
      </c>
      <c r="BL44" s="189" t="e">
        <f t="shared" si="147"/>
        <v>#REF!</v>
      </c>
      <c r="BM44" s="189" t="e">
        <f t="shared" si="70"/>
        <v>#REF!</v>
      </c>
      <c r="BN44" s="213" t="e">
        <f t="shared" si="71"/>
        <v>#REF!</v>
      </c>
      <c r="BO44" s="173" t="e">
        <f t="shared" si="72"/>
        <v>#REF!</v>
      </c>
      <c r="BP44" s="189"/>
      <c r="BQ44" s="189">
        <f>VLOOKUP($B44,'Average RAS salary'!$A$5:$D$62,4,FALSE)</f>
        <v>93630.092664092677</v>
      </c>
      <c r="BR44" s="189" t="e">
        <f t="shared" si="73"/>
        <v>#REF!</v>
      </c>
      <c r="BS44" s="189" t="e">
        <f>VLOOKUP($B44,#REF!,19,FALSE)*$BQ$65</f>
        <v>#REF!</v>
      </c>
      <c r="BT44" s="189" t="e">
        <f t="shared" si="74"/>
        <v>#REF!</v>
      </c>
      <c r="BU44" s="189" t="e">
        <f t="shared" si="75"/>
        <v>#REF!</v>
      </c>
      <c r="BV44" s="189" t="e">
        <f t="shared" si="76"/>
        <v>#REF!</v>
      </c>
      <c r="BW44" s="189" t="e">
        <f t="shared" si="77"/>
        <v>#REF!</v>
      </c>
      <c r="BX44" s="213" t="e">
        <f t="shared" si="78"/>
        <v>#REF!</v>
      </c>
      <c r="BY44" s="173" t="e">
        <f t="shared" si="79"/>
        <v>#REF!</v>
      </c>
      <c r="BZ44" s="189"/>
      <c r="CA44" s="189">
        <f>VLOOKUP($B44,'Average RAS salary'!$A$5:$D$62,4,FALSE)</f>
        <v>93630.092664092677</v>
      </c>
      <c r="CB44" s="189" t="e">
        <f t="shared" si="80"/>
        <v>#REF!</v>
      </c>
      <c r="CC44" s="189" t="e">
        <f>IF(VLOOKUP($B44,#REF!,7,FALSE)&gt;VLOOKUP($B44,#REF!,19,FALSE)*$CA$65,VLOOKUP($B44,#REF!,19,FALSE)*$CA$65,VLOOKUP($B44,#REF!,7,FALSE))</f>
        <v>#REF!</v>
      </c>
      <c r="CD44" s="189" t="e">
        <f t="shared" si="81"/>
        <v>#REF!</v>
      </c>
      <c r="CE44" s="189" t="e">
        <f t="shared" si="82"/>
        <v>#REF!</v>
      </c>
      <c r="CF44" s="189" t="e">
        <f t="shared" si="83"/>
        <v>#REF!</v>
      </c>
      <c r="CG44" s="189" t="e">
        <f t="shared" si="84"/>
        <v>#REF!</v>
      </c>
      <c r="CH44" s="213" t="e">
        <f t="shared" si="85"/>
        <v>#REF!</v>
      </c>
      <c r="CI44" s="173" t="e">
        <f t="shared" si="86"/>
        <v>#REF!</v>
      </c>
      <c r="CJ44" s="189"/>
      <c r="CK44" s="189">
        <f>VLOOKUP($B44,'Average RAS salary'!$A$5:$D$62,4,FALSE)</f>
        <v>93630.092664092677</v>
      </c>
      <c r="CL44" s="189" t="e">
        <f t="shared" si="87"/>
        <v>#REF!</v>
      </c>
      <c r="CM44" s="189" t="e">
        <f>IF($AY44&gt;VLOOKUP($B44,#REF!,19,FALSE)*$CK$65,VLOOKUP($B44,#REF!,19,FALSE)*$CK$65,$AY44)</f>
        <v>#REF!</v>
      </c>
      <c r="CN44" s="189" t="e">
        <f t="shared" si="88"/>
        <v>#REF!</v>
      </c>
      <c r="CO44" s="189" t="e">
        <f t="shared" si="89"/>
        <v>#REF!</v>
      </c>
      <c r="CP44" s="189" t="e">
        <f t="shared" si="90"/>
        <v>#REF!</v>
      </c>
      <c r="CQ44" s="189" t="e">
        <f t="shared" si="91"/>
        <v>#REF!</v>
      </c>
      <c r="CR44" s="213" t="e">
        <f t="shared" si="92"/>
        <v>#REF!</v>
      </c>
      <c r="CS44" s="173" t="e">
        <f t="shared" si="93"/>
        <v>#REF!</v>
      </c>
      <c r="CT44" s="1"/>
      <c r="CU44" s="254">
        <v>0.28377147689451659</v>
      </c>
      <c r="CV44" s="252">
        <v>28567.900575404794</v>
      </c>
      <c r="CW44" s="254">
        <v>0.27820142432309192</v>
      </c>
      <c r="CX44" s="255">
        <v>28551.933333333334</v>
      </c>
      <c r="CY44" s="190" t="e">
        <f>VLOOKUP($B44,#REF!,13,FALSE)</f>
        <v>#REF!</v>
      </c>
      <c r="CZ44" s="172" t="e">
        <f>VLOOKUP($B44,#REF!,14,FALSE)</f>
        <v>#REF!</v>
      </c>
      <c r="DA44" s="190" t="e">
        <f>VLOOKUP($B44,#REF!,15,FALSE)</f>
        <v>#REF!</v>
      </c>
      <c r="DB44" s="189" t="e">
        <f>VLOOKUP($B44,#REF!,16,FALSE)</f>
        <v>#REF!</v>
      </c>
      <c r="DC44" s="190" t="e">
        <f t="shared" si="94"/>
        <v>#REF!</v>
      </c>
      <c r="DD44" s="190" t="e">
        <f t="shared" si="95"/>
        <v>#REF!</v>
      </c>
      <c r="DE44" s="190" t="e">
        <f t="shared" si="96"/>
        <v>#REF!</v>
      </c>
      <c r="DF44" s="190" t="e">
        <f t="shared" si="97"/>
        <v>#REF!</v>
      </c>
      <c r="DG44" s="1"/>
      <c r="DH44" s="253" t="s">
        <v>272</v>
      </c>
      <c r="DI44" s="253">
        <v>0</v>
      </c>
      <c r="DJ44" s="173">
        <f t="shared" si="98"/>
        <v>0</v>
      </c>
      <c r="DK44" s="172" t="e">
        <f>IF(VLOOKUP($B44,#REF!,6,FALSE)="Y","Yes","")</f>
        <v>#REF!</v>
      </c>
      <c r="DL44" s="172" t="e">
        <f>VLOOKUP($B44,#REF!,4,FALSE)</f>
        <v>#REF!</v>
      </c>
      <c r="DM44" s="173" t="e">
        <f t="shared" si="148"/>
        <v>#REF!</v>
      </c>
      <c r="DN44" s="1"/>
      <c r="DO44" s="172">
        <f t="shared" si="99"/>
        <v>67359434.615215853</v>
      </c>
      <c r="DP44" s="252">
        <v>66370675.549399063</v>
      </c>
      <c r="DQ44" s="172">
        <f t="shared" si="100"/>
        <v>-988759.06581678987</v>
      </c>
      <c r="DR44" s="173">
        <f t="shared" si="149"/>
        <v>-1.4678850430752259E-2</v>
      </c>
      <c r="DS44" s="172">
        <f t="shared" si="101"/>
        <v>66370675.549399063</v>
      </c>
      <c r="DT44" s="252">
        <v>67625807.46041283</v>
      </c>
      <c r="DU44" s="172">
        <f t="shared" si="102"/>
        <v>1255131.9110137671</v>
      </c>
      <c r="DV44" s="173">
        <f t="shared" si="103"/>
        <v>1.8633349851933656E-2</v>
      </c>
      <c r="DW44" s="172">
        <f t="shared" si="104"/>
        <v>67625807.46041283</v>
      </c>
      <c r="DX44" s="252">
        <v>68331380.301335201</v>
      </c>
      <c r="DY44" s="172">
        <f t="shared" si="105"/>
        <v>705572.84092237055</v>
      </c>
      <c r="DZ44" s="173">
        <f t="shared" si="106"/>
        <v>1.047474410901585E-2</v>
      </c>
      <c r="EA44" s="172">
        <f t="shared" si="107"/>
        <v>68331380.301335201</v>
      </c>
      <c r="EB44" s="252">
        <v>67174450.322178826</v>
      </c>
      <c r="EC44" s="172">
        <f t="shared" si="108"/>
        <v>-1156929.9791563749</v>
      </c>
      <c r="ED44" s="173">
        <f t="shared" si="109"/>
        <v>-1.7175470455849634E-2</v>
      </c>
      <c r="EE44" s="172">
        <f t="shared" si="110"/>
        <v>67174450.322178826</v>
      </c>
      <c r="EF44" s="252">
        <v>67426841.471171483</v>
      </c>
      <c r="EG44" s="172">
        <f t="shared" si="111"/>
        <v>252391.14899265766</v>
      </c>
      <c r="EH44" s="173">
        <f t="shared" si="112"/>
        <v>3.7469309300830283E-3</v>
      </c>
      <c r="EI44" s="172">
        <f t="shared" si="113"/>
        <v>67426841.471171483</v>
      </c>
      <c r="EJ44" s="252">
        <v>67359434.615215853</v>
      </c>
      <c r="EK44" s="172">
        <f t="shared" si="114"/>
        <v>-67406.855955630541</v>
      </c>
      <c r="EL44" s="173">
        <f t="shared" si="115"/>
        <v>-1.0007040044306425E-3</v>
      </c>
      <c r="EM44" s="172">
        <f t="shared" si="116"/>
        <v>0</v>
      </c>
      <c r="EN44" s="173">
        <f t="shared" si="150"/>
        <v>0</v>
      </c>
      <c r="EO44" s="214"/>
      <c r="EP44" s="273">
        <v>38651783.431059621</v>
      </c>
      <c r="EQ44" s="273">
        <v>35470807.303657442</v>
      </c>
      <c r="ER44" s="172">
        <f t="shared" si="117"/>
        <v>-3180976.1274021789</v>
      </c>
      <c r="ES44" s="173">
        <f t="shared" si="18"/>
        <v>-8.229830152794515E-2</v>
      </c>
      <c r="ET44" s="273">
        <v>21963724.624485552</v>
      </c>
      <c r="EU44" s="273">
        <v>20149729.818059161</v>
      </c>
      <c r="EV44" s="172">
        <f t="shared" si="118"/>
        <v>-1813994.806426391</v>
      </c>
      <c r="EW44" s="173">
        <f t="shared" si="19"/>
        <v>-8.2590491250473852E-2</v>
      </c>
      <c r="EX44" s="273">
        <v>8083276.1800000006</v>
      </c>
      <c r="EY44" s="273">
        <v>7413160.0200000005</v>
      </c>
      <c r="EZ44" s="172">
        <f t="shared" si="119"/>
        <v>-670116.16000000015</v>
      </c>
      <c r="FA44" s="173">
        <f t="shared" si="20"/>
        <v>-8.2901554404145095E-2</v>
      </c>
      <c r="FB44" s="172">
        <f t="shared" si="120"/>
        <v>35470807.303657442</v>
      </c>
      <c r="FC44" s="273">
        <v>36179757.342442602</v>
      </c>
      <c r="FD44" s="172">
        <f t="shared" si="121"/>
        <v>708950.03878515959</v>
      </c>
      <c r="FE44" s="173">
        <f t="shared" si="21"/>
        <v>1.9986859411346376E-2</v>
      </c>
      <c r="FF44" s="172">
        <f t="shared" si="122"/>
        <v>20149729.818059161</v>
      </c>
      <c r="FG44" s="273">
        <v>20350323.318062831</v>
      </c>
      <c r="FH44" s="172">
        <f t="shared" si="123"/>
        <v>200593.50000366941</v>
      </c>
      <c r="FI44" s="173">
        <f t="shared" si="22"/>
        <v>9.9551458910326351E-3</v>
      </c>
      <c r="FJ44" s="172">
        <f t="shared" si="124"/>
        <v>36179757.342442602</v>
      </c>
      <c r="FK44" s="273">
        <v>36315395.201060116</v>
      </c>
      <c r="FL44" s="172">
        <f t="shared" si="125"/>
        <v>135637.85861751437</v>
      </c>
      <c r="FM44" s="173">
        <f t="shared" si="23"/>
        <v>3.7489985721489935E-3</v>
      </c>
      <c r="FN44" s="172">
        <f t="shared" si="126"/>
        <v>20350323.318062831</v>
      </c>
      <c r="FO44" s="273">
        <v>20388705.763923928</v>
      </c>
      <c r="FP44" s="172">
        <f t="shared" si="127"/>
        <v>38382.445861097425</v>
      </c>
      <c r="FQ44" s="173">
        <f t="shared" si="24"/>
        <v>1.8860853098598873E-3</v>
      </c>
      <c r="FR44" s="172">
        <f t="shared" si="128"/>
        <v>20388705.763923928</v>
      </c>
      <c r="FS44" s="273">
        <v>15907092.34128001</v>
      </c>
      <c r="FT44" s="172">
        <f t="shared" si="129"/>
        <v>-4481613.4226439185</v>
      </c>
      <c r="FU44" s="173">
        <f t="shared" si="25"/>
        <v>-0.21980862711618265</v>
      </c>
      <c r="FV44" s="172">
        <f t="shared" si="26"/>
        <v>7413160.0200000005</v>
      </c>
      <c r="FW44" s="273">
        <v>8055574.4400000004</v>
      </c>
      <c r="FX44" s="172">
        <f t="shared" si="130"/>
        <v>642414.41999999993</v>
      </c>
      <c r="FY44" s="173">
        <f t="shared" si="27"/>
        <v>8.6658647360481483E-2</v>
      </c>
      <c r="FZ44" s="214"/>
      <c r="GA44" s="172">
        <f t="shared" si="151"/>
        <v>38651783.431059621</v>
      </c>
      <c r="GB44" s="172">
        <f t="shared" si="152"/>
        <v>-3180976.1274021789</v>
      </c>
      <c r="GC44" s="172">
        <f t="shared" si="153"/>
        <v>708950.03878515959</v>
      </c>
      <c r="GD44" s="172">
        <f t="shared" si="154"/>
        <v>135637.85861751437</v>
      </c>
      <c r="GE44" s="172">
        <f t="shared" si="155"/>
        <v>-2336388.229999505</v>
      </c>
      <c r="GF44" s="172">
        <f t="shared" si="156"/>
        <v>36315395.201060116</v>
      </c>
      <c r="GG44" s="173">
        <f t="shared" si="157"/>
        <v>-6.0447100304355968E-2</v>
      </c>
      <c r="GH44" s="244"/>
      <c r="GI44" s="172">
        <f t="shared" si="158"/>
        <v>21963724.624485552</v>
      </c>
      <c r="GJ44" s="172">
        <f t="shared" si="159"/>
        <v>-1813994.806426391</v>
      </c>
      <c r="GK44" s="172">
        <f t="shared" si="160"/>
        <v>200593.50000366941</v>
      </c>
      <c r="GL44" s="172">
        <f t="shared" si="161"/>
        <v>38382.445861097425</v>
      </c>
      <c r="GM44" s="172">
        <f t="shared" si="162"/>
        <v>-4481613.4226439185</v>
      </c>
      <c r="GN44" s="172">
        <f t="shared" si="163"/>
        <v>-6056632.2832055427</v>
      </c>
      <c r="GO44" s="172">
        <f t="shared" si="164"/>
        <v>15907092.34128001</v>
      </c>
      <c r="GP44" s="173">
        <f t="shared" si="165"/>
        <v>-0.27575615642410217</v>
      </c>
      <c r="GQ44" s="214"/>
      <c r="GR44" s="172">
        <f t="shared" si="166"/>
        <v>8083276.1800000006</v>
      </c>
      <c r="GS44" s="172">
        <f t="shared" si="167"/>
        <v>-670116.16000000015</v>
      </c>
      <c r="GT44" s="172">
        <f t="shared" si="168"/>
        <v>642414.41999999993</v>
      </c>
      <c r="GU44" s="172">
        <f t="shared" si="131"/>
        <v>-27701.740000000224</v>
      </c>
      <c r="GV44" s="172">
        <f t="shared" si="132"/>
        <v>8055574.4400000004</v>
      </c>
      <c r="GW44" s="173">
        <f t="shared" si="133"/>
        <v>-3.4270436124081835E-3</v>
      </c>
      <c r="GX44" s="214"/>
      <c r="GY44" s="273">
        <v>-1339349.6203293232</v>
      </c>
      <c r="GZ44" s="172" t="e">
        <f t="shared" si="134"/>
        <v>#REF!</v>
      </c>
      <c r="HA44" s="172" t="e">
        <f>-VLOOKUP($B44,#REF!,23,FALSE)</f>
        <v>#REF!</v>
      </c>
    </row>
    <row r="45" spans="1:209" ht="15" customHeight="1" x14ac:dyDescent="0.45">
      <c r="A45" s="148">
        <v>3</v>
      </c>
      <c r="B45" s="215" t="s">
        <v>45</v>
      </c>
      <c r="C45" s="172">
        <v>23639319.572860394</v>
      </c>
      <c r="D45" s="173">
        <f t="shared" si="0"/>
        <v>1.6410633160218038E-2</v>
      </c>
      <c r="E45" s="1"/>
      <c r="F45" s="252">
        <v>46453108.410780877</v>
      </c>
      <c r="G45" s="173">
        <f t="shared" si="1"/>
        <v>1.9766266581635026E-2</v>
      </c>
      <c r="H45" s="173">
        <f t="shared" si="46"/>
        <v>1.2044792171426739</v>
      </c>
      <c r="I45" s="172" t="e">
        <f>VLOOKUP($B45,#REF!,24,FALSE)</f>
        <v>#REF!</v>
      </c>
      <c r="J45" s="173" t="e">
        <f t="shared" si="136"/>
        <v>#REF!</v>
      </c>
      <c r="K45" s="173" t="e">
        <f t="shared" si="47"/>
        <v>#REF!</v>
      </c>
      <c r="L45" s="172" t="e">
        <f t="shared" si="48"/>
        <v>#REF!</v>
      </c>
      <c r="M45" s="173" t="e">
        <f t="shared" si="137"/>
        <v>#REF!</v>
      </c>
      <c r="N45" s="173" t="e">
        <f t="shared" si="50"/>
        <v>#REF!</v>
      </c>
      <c r="O45" s="176"/>
      <c r="P45" s="253">
        <v>369</v>
      </c>
      <c r="Q45" s="173">
        <f t="shared" si="138"/>
        <v>2.0525086216486816E-2</v>
      </c>
      <c r="R45" s="172" t="e">
        <f>VLOOKUP($B45,#REF!,4,FALSE)</f>
        <v>#REF!</v>
      </c>
      <c r="S45" s="173" t="e">
        <f t="shared" si="139"/>
        <v>#REF!</v>
      </c>
      <c r="T45" s="172" t="e">
        <f t="shared" si="51"/>
        <v>#REF!</v>
      </c>
      <c r="U45" s="173" t="e">
        <f t="shared" si="52"/>
        <v>#REF!</v>
      </c>
      <c r="V45" s="173" t="e">
        <f t="shared" si="53"/>
        <v>#REF!</v>
      </c>
      <c r="W45" s="1"/>
      <c r="X45" s="189">
        <f>VLOOKUP($B45,'Average RAS salary'!$A$5:$D$62,4,FALSE)</f>
        <v>60543.328256573615</v>
      </c>
      <c r="Y45" s="253">
        <v>63750.286216501758</v>
      </c>
      <c r="Z45" s="252" t="s">
        <v>272</v>
      </c>
      <c r="AA45" s="252" t="s">
        <v>272</v>
      </c>
      <c r="AB45" s="173">
        <f t="shared" si="5"/>
        <v>1.0928142571708868</v>
      </c>
      <c r="AC45" s="172" t="e">
        <f>VLOOKUP($B45,#REF!,3,FALSE)</f>
        <v>#REF!</v>
      </c>
      <c r="AD45" s="172" t="e">
        <f>VLOOKUP($B45,#REF!,5,FALSE)</f>
        <v>#REF!</v>
      </c>
      <c r="AE45" s="172" t="e">
        <f>VLOOKUP($B45,#REF!,6,FALSE)</f>
        <v>#REF!</v>
      </c>
      <c r="AF45" s="173" t="e">
        <f t="shared" si="6"/>
        <v>#REF!</v>
      </c>
      <c r="AG45" s="172" t="e">
        <f t="shared" si="140"/>
        <v>#REF!</v>
      </c>
      <c r="AH45" s="173" t="e">
        <f t="shared" si="141"/>
        <v>#REF!</v>
      </c>
      <c r="AI45" s="173" t="e">
        <f t="shared" si="142"/>
        <v>#REF!</v>
      </c>
      <c r="AJ45" s="189">
        <v>60750.207489426117</v>
      </c>
      <c r="AK45" s="189">
        <f>VLOOKUP($B45,'Average RAS salary'!$A$5:$D$62,4,FALSE)</f>
        <v>60543.328256573615</v>
      </c>
      <c r="AL45" s="189">
        <f t="shared" si="55"/>
        <v>-206.87923285250145</v>
      </c>
      <c r="AM45" s="173">
        <f t="shared" si="56"/>
        <v>-3.4054078397758531E-3</v>
      </c>
      <c r="AN45" s="189" t="e">
        <f t="shared" si="57"/>
        <v>#REF!</v>
      </c>
      <c r="AO45" s="189" t="e">
        <f t="shared" si="58"/>
        <v>#REF!</v>
      </c>
      <c r="AP45" s="189" t="e">
        <f t="shared" si="59"/>
        <v>#REF!</v>
      </c>
      <c r="AQ45" s="189" t="e">
        <f t="shared" si="135"/>
        <v>#REF!</v>
      </c>
      <c r="AR45" s="189" t="e">
        <f t="shared" si="60"/>
        <v>#REF!</v>
      </c>
      <c r="AS45" s="189" t="e">
        <f t="shared" si="143"/>
        <v>#REF!</v>
      </c>
      <c r="AT45" s="213" t="e">
        <f t="shared" si="61"/>
        <v>#REF!</v>
      </c>
      <c r="AU45" s="173" t="e">
        <f t="shared" si="62"/>
        <v>#REF!</v>
      </c>
      <c r="AV45" s="189"/>
      <c r="AW45" s="189">
        <f>VLOOKUP($B45,'Average RAS salary'!$A$5:$D$62,4,FALSE)</f>
        <v>60543.328256573615</v>
      </c>
      <c r="AX45" s="189" t="e">
        <f t="shared" si="144"/>
        <v>#REF!</v>
      </c>
      <c r="AY45" s="189">
        <v>56988.995124930218</v>
      </c>
      <c r="AZ45" s="189" t="e">
        <f t="shared" si="145"/>
        <v>#REF!</v>
      </c>
      <c r="BA45" s="189" t="e">
        <f t="shared" si="63"/>
        <v>#REF!</v>
      </c>
      <c r="BB45" s="189" t="e">
        <f t="shared" si="64"/>
        <v>#REF!</v>
      </c>
      <c r="BC45" s="189" t="e">
        <f t="shared" si="65"/>
        <v>#REF!</v>
      </c>
      <c r="BD45" s="213">
        <f t="shared" si="66"/>
        <v>-3554.3331316433978</v>
      </c>
      <c r="BE45" s="173">
        <f t="shared" si="169"/>
        <v>-5.8707263607654055E-2</v>
      </c>
      <c r="BF45" s="189"/>
      <c r="BG45" s="189">
        <f>VLOOKUP($B45,'Average RAS salary'!$A$5:$D$62,4,FALSE)</f>
        <v>60543.328256573615</v>
      </c>
      <c r="BH45" s="189" t="e">
        <f t="shared" si="68"/>
        <v>#REF!</v>
      </c>
      <c r="BI45" s="189" t="e">
        <f>$BG$65*#REF!</f>
        <v>#REF!</v>
      </c>
      <c r="BJ45" s="189" t="e">
        <f t="shared" si="69"/>
        <v>#REF!</v>
      </c>
      <c r="BK45" s="189" t="e">
        <f t="shared" si="146"/>
        <v>#REF!</v>
      </c>
      <c r="BL45" s="189" t="e">
        <f t="shared" si="147"/>
        <v>#REF!</v>
      </c>
      <c r="BM45" s="189" t="e">
        <f t="shared" si="70"/>
        <v>#REF!</v>
      </c>
      <c r="BN45" s="213" t="e">
        <f t="shared" si="71"/>
        <v>#REF!</v>
      </c>
      <c r="BO45" s="173" t="e">
        <f t="shared" si="72"/>
        <v>#REF!</v>
      </c>
      <c r="BP45" s="189"/>
      <c r="BQ45" s="189">
        <f>VLOOKUP($B45,'Average RAS salary'!$A$5:$D$62,4,FALSE)</f>
        <v>60543.328256573615</v>
      </c>
      <c r="BR45" s="189" t="e">
        <f t="shared" si="73"/>
        <v>#REF!</v>
      </c>
      <c r="BS45" s="189" t="e">
        <f>VLOOKUP($B45,#REF!,19,FALSE)*$BQ$65</f>
        <v>#REF!</v>
      </c>
      <c r="BT45" s="189" t="e">
        <f t="shared" si="74"/>
        <v>#REF!</v>
      </c>
      <c r="BU45" s="189" t="e">
        <f t="shared" si="75"/>
        <v>#REF!</v>
      </c>
      <c r="BV45" s="189" t="e">
        <f t="shared" si="76"/>
        <v>#REF!</v>
      </c>
      <c r="BW45" s="189" t="e">
        <f t="shared" si="77"/>
        <v>#REF!</v>
      </c>
      <c r="BX45" s="213" t="e">
        <f t="shared" si="78"/>
        <v>#REF!</v>
      </c>
      <c r="BY45" s="173" t="e">
        <f t="shared" si="79"/>
        <v>#REF!</v>
      </c>
      <c r="BZ45" s="189"/>
      <c r="CA45" s="189">
        <f>VLOOKUP($B45,'Average RAS salary'!$A$5:$D$62,4,FALSE)</f>
        <v>60543.328256573615</v>
      </c>
      <c r="CB45" s="189" t="e">
        <f t="shared" si="80"/>
        <v>#REF!</v>
      </c>
      <c r="CC45" s="189" t="e">
        <f>IF(VLOOKUP($B45,#REF!,7,FALSE)&gt;VLOOKUP($B45,#REF!,19,FALSE)*$CA$65,VLOOKUP($B45,#REF!,19,FALSE)*$CA$65,VLOOKUP($B45,#REF!,7,FALSE))</f>
        <v>#REF!</v>
      </c>
      <c r="CD45" s="189" t="e">
        <f t="shared" si="81"/>
        <v>#REF!</v>
      </c>
      <c r="CE45" s="189" t="e">
        <f t="shared" si="82"/>
        <v>#REF!</v>
      </c>
      <c r="CF45" s="189" t="e">
        <f t="shared" si="83"/>
        <v>#REF!</v>
      </c>
      <c r="CG45" s="189" t="e">
        <f t="shared" si="84"/>
        <v>#REF!</v>
      </c>
      <c r="CH45" s="213" t="e">
        <f t="shared" si="85"/>
        <v>#REF!</v>
      </c>
      <c r="CI45" s="173" t="e">
        <f t="shared" si="86"/>
        <v>#REF!</v>
      </c>
      <c r="CJ45" s="189"/>
      <c r="CK45" s="189">
        <f>VLOOKUP($B45,'Average RAS salary'!$A$5:$D$62,4,FALSE)</f>
        <v>60543.328256573615</v>
      </c>
      <c r="CL45" s="189" t="e">
        <f t="shared" si="87"/>
        <v>#REF!</v>
      </c>
      <c r="CM45" s="189" t="e">
        <f>IF($AY45&gt;VLOOKUP($B45,#REF!,19,FALSE)*$CK$65,VLOOKUP($B45,#REF!,19,FALSE)*$CK$65,$AY45)</f>
        <v>#REF!</v>
      </c>
      <c r="CN45" s="189" t="e">
        <f t="shared" si="88"/>
        <v>#REF!</v>
      </c>
      <c r="CO45" s="189" t="e">
        <f t="shared" si="89"/>
        <v>#REF!</v>
      </c>
      <c r="CP45" s="189" t="e">
        <f t="shared" si="90"/>
        <v>#REF!</v>
      </c>
      <c r="CQ45" s="189" t="e">
        <f t="shared" si="91"/>
        <v>#REF!</v>
      </c>
      <c r="CR45" s="213" t="e">
        <f t="shared" si="92"/>
        <v>#REF!</v>
      </c>
      <c r="CS45" s="173" t="e">
        <f t="shared" si="93"/>
        <v>#REF!</v>
      </c>
      <c r="CT45" s="1"/>
      <c r="CU45" s="254">
        <v>0.45537707876975447</v>
      </c>
      <c r="CV45" s="252">
        <v>13763.236069803217</v>
      </c>
      <c r="CW45" s="254">
        <v>0.47400462892618295</v>
      </c>
      <c r="CX45" s="255">
        <v>9436.7976779846667</v>
      </c>
      <c r="CY45" s="190" t="e">
        <f>VLOOKUP($B45,#REF!,13,FALSE)</f>
        <v>#REF!</v>
      </c>
      <c r="CZ45" s="172" t="e">
        <f>VLOOKUP($B45,#REF!,14,FALSE)</f>
        <v>#REF!</v>
      </c>
      <c r="DA45" s="190" t="e">
        <f>VLOOKUP($B45,#REF!,15,FALSE)</f>
        <v>#REF!</v>
      </c>
      <c r="DB45" s="189" t="e">
        <f>VLOOKUP($B45,#REF!,16,FALSE)</f>
        <v>#REF!</v>
      </c>
      <c r="DC45" s="190" t="e">
        <f t="shared" si="94"/>
        <v>#REF!</v>
      </c>
      <c r="DD45" s="190" t="e">
        <f t="shared" si="95"/>
        <v>#REF!</v>
      </c>
      <c r="DE45" s="190" t="e">
        <f t="shared" si="96"/>
        <v>#REF!</v>
      </c>
      <c r="DF45" s="190" t="e">
        <f t="shared" si="97"/>
        <v>#REF!</v>
      </c>
      <c r="DG45" s="1"/>
      <c r="DH45" s="253" t="s">
        <v>272</v>
      </c>
      <c r="DI45" s="253">
        <v>0</v>
      </c>
      <c r="DJ45" s="173">
        <f t="shared" si="98"/>
        <v>0</v>
      </c>
      <c r="DK45" s="172" t="e">
        <f>IF(VLOOKUP($B45,#REF!,6,FALSE)="Y","Yes","")</f>
        <v>#REF!</v>
      </c>
      <c r="DL45" s="172" t="e">
        <f>VLOOKUP($B45,#REF!,4,FALSE)</f>
        <v>#REF!</v>
      </c>
      <c r="DM45" s="173" t="e">
        <f t="shared" si="148"/>
        <v>#REF!</v>
      </c>
      <c r="DN45" s="1"/>
      <c r="DO45" s="172">
        <f t="shared" si="99"/>
        <v>46453108.410780877</v>
      </c>
      <c r="DP45" s="252">
        <v>44735435.883968472</v>
      </c>
      <c r="DQ45" s="172">
        <f t="shared" si="100"/>
        <v>-1717672.5268124044</v>
      </c>
      <c r="DR45" s="173">
        <f t="shared" si="149"/>
        <v>-3.6976481996063057E-2</v>
      </c>
      <c r="DS45" s="172">
        <f t="shared" si="101"/>
        <v>44735435.883968472</v>
      </c>
      <c r="DT45" s="252">
        <v>45593729.641547799</v>
      </c>
      <c r="DU45" s="172">
        <f t="shared" si="102"/>
        <v>858293.75757932663</v>
      </c>
      <c r="DV45" s="173">
        <f t="shared" si="103"/>
        <v>1.8476562429138393E-2</v>
      </c>
      <c r="DW45" s="172">
        <f t="shared" si="104"/>
        <v>45593729.641547799</v>
      </c>
      <c r="DX45" s="252">
        <v>45285237.060511187</v>
      </c>
      <c r="DY45" s="172">
        <f t="shared" si="105"/>
        <v>-308492.58103661239</v>
      </c>
      <c r="DZ45" s="173">
        <f t="shared" si="106"/>
        <v>-6.6409459256986381E-3</v>
      </c>
      <c r="EA45" s="172">
        <f t="shared" si="107"/>
        <v>45285237.060511187</v>
      </c>
      <c r="EB45" s="252">
        <v>46225511.512370363</v>
      </c>
      <c r="EC45" s="172">
        <f t="shared" si="108"/>
        <v>940274.45185917616</v>
      </c>
      <c r="ED45" s="173">
        <f t="shared" si="109"/>
        <v>2.02413677798353E-2</v>
      </c>
      <c r="EE45" s="172">
        <f t="shared" si="110"/>
        <v>46225511.512370363</v>
      </c>
      <c r="EF45" s="252">
        <v>46466786.988998063</v>
      </c>
      <c r="EG45" s="172">
        <f t="shared" si="111"/>
        <v>241275.47662770003</v>
      </c>
      <c r="EH45" s="173">
        <f t="shared" si="112"/>
        <v>5.1939576248401197E-3</v>
      </c>
      <c r="EI45" s="172">
        <f t="shared" si="113"/>
        <v>46466786.988998063</v>
      </c>
      <c r="EJ45" s="252">
        <v>46453108.410780877</v>
      </c>
      <c r="EK45" s="172">
        <f t="shared" si="114"/>
        <v>-13678.578217186034</v>
      </c>
      <c r="EL45" s="173">
        <f t="shared" si="115"/>
        <v>-2.9445991205211787E-4</v>
      </c>
      <c r="EM45" s="172">
        <f t="shared" si="116"/>
        <v>0</v>
      </c>
      <c r="EN45" s="173">
        <f t="shared" si="150"/>
        <v>0</v>
      </c>
      <c r="EO45" s="214"/>
      <c r="EP45" s="273">
        <v>23669350.182504743</v>
      </c>
      <c r="EQ45" s="273">
        <v>23286848.465205733</v>
      </c>
      <c r="ER45" s="172">
        <f t="shared" si="117"/>
        <v>-382501.7172990106</v>
      </c>
      <c r="ES45" s="173">
        <f t="shared" si="18"/>
        <v>-1.6160212018906106E-2</v>
      </c>
      <c r="ET45" s="273">
        <v>15706016.449465262</v>
      </c>
      <c r="EU45" s="273">
        <v>15449254.518398406</v>
      </c>
      <c r="EV45" s="172">
        <f t="shared" si="118"/>
        <v>-256761.93106685579</v>
      </c>
      <c r="EW45" s="173">
        <f t="shared" si="19"/>
        <v>-1.6347998354197424E-2</v>
      </c>
      <c r="EX45" s="273">
        <v>7727276.9700000007</v>
      </c>
      <c r="EY45" s="273">
        <v>7601630.1900000004</v>
      </c>
      <c r="EZ45" s="172">
        <f t="shared" si="119"/>
        <v>-125646.78000000026</v>
      </c>
      <c r="FA45" s="173">
        <f t="shared" si="20"/>
        <v>-1.6260162601626049E-2</v>
      </c>
      <c r="FB45" s="172">
        <f t="shared" si="120"/>
        <v>23286848.465205733</v>
      </c>
      <c r="FC45" s="273">
        <v>23751600.081197966</v>
      </c>
      <c r="FD45" s="172">
        <f t="shared" si="121"/>
        <v>464751.61599223316</v>
      </c>
      <c r="FE45" s="173">
        <f t="shared" si="21"/>
        <v>1.9957686274578813E-2</v>
      </c>
      <c r="FF45" s="172">
        <f t="shared" si="122"/>
        <v>15449254.518398406</v>
      </c>
      <c r="FG45" s="273">
        <v>15662148.620426631</v>
      </c>
      <c r="FH45" s="172">
        <f t="shared" si="123"/>
        <v>212894.10202822462</v>
      </c>
      <c r="FI45" s="173">
        <f t="shared" si="22"/>
        <v>1.378021844191191E-2</v>
      </c>
      <c r="FJ45" s="172">
        <f t="shared" si="124"/>
        <v>23751600.081197966</v>
      </c>
      <c r="FK45" s="273">
        <v>23685690.865385175</v>
      </c>
      <c r="FL45" s="172">
        <f t="shared" si="125"/>
        <v>-65909.215812791139</v>
      </c>
      <c r="FM45" s="173">
        <f t="shared" si="23"/>
        <v>-2.7749379236544831E-3</v>
      </c>
      <c r="FN45" s="172">
        <f t="shared" si="126"/>
        <v>15662148.620426631</v>
      </c>
      <c r="FO45" s="273">
        <v>15631962.597590672</v>
      </c>
      <c r="FP45" s="172">
        <f t="shared" si="127"/>
        <v>-30186.022835958749</v>
      </c>
      <c r="FQ45" s="173">
        <f t="shared" si="24"/>
        <v>-1.9273232279631181E-3</v>
      </c>
      <c r="FR45" s="172">
        <f t="shared" si="128"/>
        <v>15631962.597590672</v>
      </c>
      <c r="FS45" s="273">
        <v>15728976.489574373</v>
      </c>
      <c r="FT45" s="172">
        <f t="shared" si="129"/>
        <v>97013.891983700916</v>
      </c>
      <c r="FU45" s="173">
        <f t="shared" si="25"/>
        <v>6.2061235995186873E-3</v>
      </c>
      <c r="FV45" s="172">
        <f t="shared" si="26"/>
        <v>7601630.1900000004</v>
      </c>
      <c r="FW45" s="273">
        <v>8260377.1800000006</v>
      </c>
      <c r="FX45" s="172">
        <f t="shared" si="130"/>
        <v>658746.99000000022</v>
      </c>
      <c r="FY45" s="173">
        <f t="shared" si="27"/>
        <v>8.6658647360481525E-2</v>
      </c>
      <c r="FZ45" s="214"/>
      <c r="GA45" s="172">
        <f t="shared" si="151"/>
        <v>23669350.182504743</v>
      </c>
      <c r="GB45" s="172">
        <f t="shared" si="152"/>
        <v>-382501.7172990106</v>
      </c>
      <c r="GC45" s="172">
        <f t="shared" si="153"/>
        <v>464751.61599223316</v>
      </c>
      <c r="GD45" s="172">
        <f t="shared" si="154"/>
        <v>-65909.215812791139</v>
      </c>
      <c r="GE45" s="172">
        <f t="shared" si="155"/>
        <v>16340.682880431414</v>
      </c>
      <c r="GF45" s="172">
        <f t="shared" si="156"/>
        <v>23685690.865385175</v>
      </c>
      <c r="GG45" s="173">
        <f t="shared" si="157"/>
        <v>6.9037310929261032E-4</v>
      </c>
      <c r="GH45" s="244"/>
      <c r="GI45" s="172">
        <f t="shared" si="158"/>
        <v>15706016.449465262</v>
      </c>
      <c r="GJ45" s="172">
        <f t="shared" si="159"/>
        <v>-256761.93106685579</v>
      </c>
      <c r="GK45" s="172">
        <f t="shared" si="160"/>
        <v>212894.10202822462</v>
      </c>
      <c r="GL45" s="172">
        <f t="shared" si="161"/>
        <v>-30186.022835958749</v>
      </c>
      <c r="GM45" s="172">
        <f t="shared" si="162"/>
        <v>97013.891983700916</v>
      </c>
      <c r="GN45" s="172">
        <f t="shared" si="163"/>
        <v>22960.040109110996</v>
      </c>
      <c r="GO45" s="172">
        <f t="shared" si="164"/>
        <v>15728976.489574373</v>
      </c>
      <c r="GP45" s="173">
        <f t="shared" si="165"/>
        <v>1.4618627315835207E-3</v>
      </c>
      <c r="GQ45" s="214"/>
      <c r="GR45" s="172">
        <f t="shared" si="166"/>
        <v>7727276.9700000007</v>
      </c>
      <c r="GS45" s="172">
        <f t="shared" si="167"/>
        <v>-125646.78000000026</v>
      </c>
      <c r="GT45" s="172">
        <f t="shared" si="168"/>
        <v>658746.99000000022</v>
      </c>
      <c r="GU45" s="172">
        <f t="shared" si="131"/>
        <v>533100.21</v>
      </c>
      <c r="GV45" s="172">
        <f t="shared" si="132"/>
        <v>8260377.1800000006</v>
      </c>
      <c r="GW45" s="173">
        <f t="shared" si="133"/>
        <v>6.8989401061937072E-2</v>
      </c>
      <c r="GX45" s="214"/>
      <c r="GY45" s="273">
        <v>-649535.19118912797</v>
      </c>
      <c r="GZ45" s="172" t="e">
        <f t="shared" si="134"/>
        <v>#REF!</v>
      </c>
      <c r="HA45" s="172" t="e">
        <f>-VLOOKUP($B45,#REF!,23,FALSE)</f>
        <v>#REF!</v>
      </c>
    </row>
    <row r="46" spans="1:209" ht="15" customHeight="1" x14ac:dyDescent="0.45">
      <c r="A46" s="148">
        <v>2</v>
      </c>
      <c r="B46" s="212" t="s">
        <v>32</v>
      </c>
      <c r="C46" s="172">
        <v>10604941.730444938</v>
      </c>
      <c r="D46" s="173">
        <f t="shared" si="0"/>
        <v>7.362048128645075E-3</v>
      </c>
      <c r="E46" s="1"/>
      <c r="F46" s="252">
        <v>17268591.644737024</v>
      </c>
      <c r="G46" s="173">
        <f t="shared" si="1"/>
        <v>7.3479600745092405E-3</v>
      </c>
      <c r="H46" s="173">
        <f t="shared" si="46"/>
        <v>0.99808639472472083</v>
      </c>
      <c r="I46" s="172" t="e">
        <f>VLOOKUP($B46,#REF!,24,FALSE)</f>
        <v>#REF!</v>
      </c>
      <c r="J46" s="173" t="e">
        <f t="shared" si="136"/>
        <v>#REF!</v>
      </c>
      <c r="K46" s="173" t="e">
        <f t="shared" si="47"/>
        <v>#REF!</v>
      </c>
      <c r="L46" s="172" t="e">
        <f t="shared" si="48"/>
        <v>#REF!</v>
      </c>
      <c r="M46" s="173" t="e">
        <f t="shared" si="137"/>
        <v>#REF!</v>
      </c>
      <c r="N46" s="173" t="e">
        <f t="shared" si="50"/>
        <v>#REF!</v>
      </c>
      <c r="O46" s="176"/>
      <c r="P46" s="253">
        <v>147</v>
      </c>
      <c r="Q46" s="173">
        <f t="shared" si="138"/>
        <v>8.1766603626654798E-3</v>
      </c>
      <c r="R46" s="172" t="e">
        <f>VLOOKUP($B46,#REF!,4,FALSE)</f>
        <v>#REF!</v>
      </c>
      <c r="S46" s="173" t="e">
        <f t="shared" si="139"/>
        <v>#REF!</v>
      </c>
      <c r="T46" s="172" t="e">
        <f t="shared" si="51"/>
        <v>#REF!</v>
      </c>
      <c r="U46" s="173" t="e">
        <f t="shared" si="52"/>
        <v>#REF!</v>
      </c>
      <c r="V46" s="173" t="e">
        <f t="shared" si="53"/>
        <v>#REF!</v>
      </c>
      <c r="W46" s="1"/>
      <c r="X46" s="189">
        <f>VLOOKUP($B46,'Average RAS salary'!$A$5:$D$62,4,FALSE)</f>
        <v>68154.201481481505</v>
      </c>
      <c r="Y46" s="253">
        <v>62103.253941277973</v>
      </c>
      <c r="Z46" s="252" t="s">
        <v>272</v>
      </c>
      <c r="AA46" s="252" t="s">
        <v>272</v>
      </c>
      <c r="AB46" s="173">
        <f t="shared" si="5"/>
        <v>1.0645806529126638</v>
      </c>
      <c r="AC46" s="172" t="e">
        <f>VLOOKUP($B46,#REF!,3,FALSE)</f>
        <v>#REF!</v>
      </c>
      <c r="AD46" s="172" t="e">
        <f>VLOOKUP($B46,#REF!,5,FALSE)</f>
        <v>#REF!</v>
      </c>
      <c r="AE46" s="172" t="e">
        <f>VLOOKUP($B46,#REF!,6,FALSE)</f>
        <v>#REF!</v>
      </c>
      <c r="AF46" s="173" t="e">
        <f t="shared" si="6"/>
        <v>#REF!</v>
      </c>
      <c r="AG46" s="172" t="e">
        <f t="shared" si="140"/>
        <v>#REF!</v>
      </c>
      <c r="AH46" s="173" t="e">
        <f t="shared" si="141"/>
        <v>#REF!</v>
      </c>
      <c r="AI46" s="173" t="e">
        <f t="shared" si="142"/>
        <v>#REF!</v>
      </c>
      <c r="AJ46" s="189">
        <v>63431.701010135752</v>
      </c>
      <c r="AK46" s="189">
        <f>VLOOKUP($B46,'Average RAS salary'!$A$5:$D$62,4,FALSE)</f>
        <v>68154.201481481505</v>
      </c>
      <c r="AL46" s="189">
        <f t="shared" si="55"/>
        <v>4722.5004713457529</v>
      </c>
      <c r="AM46" s="173">
        <f t="shared" si="56"/>
        <v>7.4450162870315348E-2</v>
      </c>
      <c r="AN46" s="189" t="e">
        <f t="shared" si="57"/>
        <v>#REF!</v>
      </c>
      <c r="AO46" s="189" t="e">
        <f t="shared" si="58"/>
        <v>#REF!</v>
      </c>
      <c r="AP46" s="189" t="e">
        <f t="shared" si="59"/>
        <v>#REF!</v>
      </c>
      <c r="AQ46" s="189" t="e">
        <f t="shared" si="135"/>
        <v>#REF!</v>
      </c>
      <c r="AR46" s="189" t="e">
        <f t="shared" si="60"/>
        <v>#REF!</v>
      </c>
      <c r="AS46" s="189" t="e">
        <f t="shared" si="143"/>
        <v>#REF!</v>
      </c>
      <c r="AT46" s="213" t="e">
        <f t="shared" si="61"/>
        <v>#REF!</v>
      </c>
      <c r="AU46" s="173" t="e">
        <f t="shared" si="62"/>
        <v>#REF!</v>
      </c>
      <c r="AV46" s="189"/>
      <c r="AW46" s="189">
        <f>VLOOKUP($B46,'Average RAS salary'!$A$5:$D$62,4,FALSE)</f>
        <v>68154.201481481505</v>
      </c>
      <c r="AX46" s="189" t="e">
        <f t="shared" si="144"/>
        <v>#REF!</v>
      </c>
      <c r="AY46" s="189">
        <v>55396.368631558042</v>
      </c>
      <c r="AZ46" s="189" t="e">
        <f t="shared" si="145"/>
        <v>#REF!</v>
      </c>
      <c r="BA46" s="189" t="e">
        <f t="shared" si="63"/>
        <v>#REF!</v>
      </c>
      <c r="BB46" s="189" t="e">
        <f t="shared" si="64"/>
        <v>#REF!</v>
      </c>
      <c r="BC46" s="189" t="e">
        <f t="shared" si="65"/>
        <v>#REF!</v>
      </c>
      <c r="BD46" s="213">
        <f t="shared" si="66"/>
        <v>-12757.832849923463</v>
      </c>
      <c r="BE46" s="173">
        <f t="shared" si="169"/>
        <v>-0.1871907024453944</v>
      </c>
      <c r="BF46" s="189"/>
      <c r="BG46" s="189">
        <f>VLOOKUP($B46,'Average RAS salary'!$A$5:$D$62,4,FALSE)</f>
        <v>68154.201481481505</v>
      </c>
      <c r="BH46" s="189" t="e">
        <f t="shared" si="68"/>
        <v>#REF!</v>
      </c>
      <c r="BI46" s="189" t="e">
        <f>$BG$65*#REF!</f>
        <v>#REF!</v>
      </c>
      <c r="BJ46" s="189" t="e">
        <f t="shared" si="69"/>
        <v>#REF!</v>
      </c>
      <c r="BK46" s="189" t="e">
        <f t="shared" si="146"/>
        <v>#REF!</v>
      </c>
      <c r="BL46" s="189" t="e">
        <f t="shared" si="147"/>
        <v>#REF!</v>
      </c>
      <c r="BM46" s="189" t="e">
        <f t="shared" si="70"/>
        <v>#REF!</v>
      </c>
      <c r="BN46" s="213" t="e">
        <f t="shared" si="71"/>
        <v>#REF!</v>
      </c>
      <c r="BO46" s="173" t="e">
        <f t="shared" si="72"/>
        <v>#REF!</v>
      </c>
      <c r="BP46" s="189"/>
      <c r="BQ46" s="189">
        <f>VLOOKUP($B46,'Average RAS salary'!$A$5:$D$62,4,FALSE)</f>
        <v>68154.201481481505</v>
      </c>
      <c r="BR46" s="189" t="e">
        <f t="shared" si="73"/>
        <v>#REF!</v>
      </c>
      <c r="BS46" s="189" t="e">
        <f>VLOOKUP($B46,#REF!,19,FALSE)*$BQ$65</f>
        <v>#REF!</v>
      </c>
      <c r="BT46" s="189" t="e">
        <f t="shared" si="74"/>
        <v>#REF!</v>
      </c>
      <c r="BU46" s="189" t="e">
        <f t="shared" si="75"/>
        <v>#REF!</v>
      </c>
      <c r="BV46" s="189" t="e">
        <f t="shared" si="76"/>
        <v>#REF!</v>
      </c>
      <c r="BW46" s="189" t="e">
        <f t="shared" si="77"/>
        <v>#REF!</v>
      </c>
      <c r="BX46" s="213" t="e">
        <f t="shared" si="78"/>
        <v>#REF!</v>
      </c>
      <c r="BY46" s="173" t="e">
        <f t="shared" si="79"/>
        <v>#REF!</v>
      </c>
      <c r="BZ46" s="189"/>
      <c r="CA46" s="189">
        <f>VLOOKUP($B46,'Average RAS salary'!$A$5:$D$62,4,FALSE)</f>
        <v>68154.201481481505</v>
      </c>
      <c r="CB46" s="189" t="e">
        <f t="shared" si="80"/>
        <v>#REF!</v>
      </c>
      <c r="CC46" s="189" t="e">
        <f>IF(VLOOKUP($B46,#REF!,7,FALSE)&gt;VLOOKUP($B46,#REF!,19,FALSE)*$CA$65,VLOOKUP($B46,#REF!,19,FALSE)*$CA$65,VLOOKUP($B46,#REF!,7,FALSE))</f>
        <v>#REF!</v>
      </c>
      <c r="CD46" s="189" t="e">
        <f t="shared" si="81"/>
        <v>#REF!</v>
      </c>
      <c r="CE46" s="189" t="e">
        <f t="shared" si="82"/>
        <v>#REF!</v>
      </c>
      <c r="CF46" s="189" t="e">
        <f t="shared" si="83"/>
        <v>#REF!</v>
      </c>
      <c r="CG46" s="189" t="e">
        <f t="shared" si="84"/>
        <v>#REF!</v>
      </c>
      <c r="CH46" s="213" t="e">
        <f t="shared" si="85"/>
        <v>#REF!</v>
      </c>
      <c r="CI46" s="173" t="e">
        <f t="shared" si="86"/>
        <v>#REF!</v>
      </c>
      <c r="CJ46" s="189"/>
      <c r="CK46" s="189">
        <f>VLOOKUP($B46,'Average RAS salary'!$A$5:$D$62,4,FALSE)</f>
        <v>68154.201481481505</v>
      </c>
      <c r="CL46" s="189" t="e">
        <f t="shared" si="87"/>
        <v>#REF!</v>
      </c>
      <c r="CM46" s="189" t="e">
        <f>IF($AY46&gt;VLOOKUP($B46,#REF!,19,FALSE)*$CK$65,VLOOKUP($B46,#REF!,19,FALSE)*$CK$65,$AY46)</f>
        <v>#REF!</v>
      </c>
      <c r="CN46" s="189" t="e">
        <f t="shared" si="88"/>
        <v>#REF!</v>
      </c>
      <c r="CO46" s="189" t="e">
        <f t="shared" si="89"/>
        <v>#REF!</v>
      </c>
      <c r="CP46" s="189" t="e">
        <f t="shared" si="90"/>
        <v>#REF!</v>
      </c>
      <c r="CQ46" s="189" t="e">
        <f t="shared" si="91"/>
        <v>#REF!</v>
      </c>
      <c r="CR46" s="213" t="e">
        <f t="shared" si="92"/>
        <v>#REF!</v>
      </c>
      <c r="CS46" s="173" t="e">
        <f t="shared" si="93"/>
        <v>#REF!</v>
      </c>
      <c r="CT46" s="1"/>
      <c r="CU46" s="254">
        <v>0.40276054241591014</v>
      </c>
      <c r="CV46" s="252">
        <v>10554.15686346863</v>
      </c>
      <c r="CW46" s="254">
        <v>0.44957960147042758</v>
      </c>
      <c r="CX46" s="255">
        <v>10696.872499999998</v>
      </c>
      <c r="CY46" s="190" t="e">
        <f>VLOOKUP($B46,#REF!,13,FALSE)</f>
        <v>#REF!</v>
      </c>
      <c r="CZ46" s="172" t="e">
        <f>VLOOKUP($B46,#REF!,14,FALSE)</f>
        <v>#REF!</v>
      </c>
      <c r="DA46" s="190" t="e">
        <f>VLOOKUP($B46,#REF!,15,FALSE)</f>
        <v>#REF!</v>
      </c>
      <c r="DB46" s="189" t="e">
        <f>VLOOKUP($B46,#REF!,16,FALSE)</f>
        <v>#REF!</v>
      </c>
      <c r="DC46" s="190" t="e">
        <f t="shared" si="94"/>
        <v>#REF!</v>
      </c>
      <c r="DD46" s="190" t="e">
        <f t="shared" si="95"/>
        <v>#REF!</v>
      </c>
      <c r="DE46" s="190" t="e">
        <f t="shared" si="96"/>
        <v>#REF!</v>
      </c>
      <c r="DF46" s="190" t="e">
        <f t="shared" si="97"/>
        <v>#REF!</v>
      </c>
      <c r="DG46" s="1"/>
      <c r="DH46" s="253" t="s">
        <v>272</v>
      </c>
      <c r="DI46" s="253">
        <v>0</v>
      </c>
      <c r="DJ46" s="173">
        <f t="shared" si="98"/>
        <v>0</v>
      </c>
      <c r="DK46" s="172" t="e">
        <f>IF(VLOOKUP($B46,#REF!,6,FALSE)="Y","Yes","")</f>
        <v>#REF!</v>
      </c>
      <c r="DL46" s="172" t="e">
        <f>VLOOKUP($B46,#REF!,4,FALSE)</f>
        <v>#REF!</v>
      </c>
      <c r="DM46" s="173" t="e">
        <f t="shared" si="148"/>
        <v>#REF!</v>
      </c>
      <c r="DN46" s="1"/>
      <c r="DO46" s="172">
        <f t="shared" si="99"/>
        <v>17268591.644737024</v>
      </c>
      <c r="DP46" s="252">
        <v>17071494.680877816</v>
      </c>
      <c r="DQ46" s="172">
        <f t="shared" si="100"/>
        <v>-197096.96385920793</v>
      </c>
      <c r="DR46" s="173">
        <f t="shared" si="149"/>
        <v>-1.1413609628048474E-2</v>
      </c>
      <c r="DS46" s="172">
        <f t="shared" si="101"/>
        <v>17071494.680877816</v>
      </c>
      <c r="DT46" s="252">
        <v>17397474.156928007</v>
      </c>
      <c r="DU46" s="172">
        <f t="shared" si="102"/>
        <v>325979.47605019063</v>
      </c>
      <c r="DV46" s="173">
        <f t="shared" si="103"/>
        <v>1.8877015726383218E-2</v>
      </c>
      <c r="DW46" s="172">
        <f t="shared" si="104"/>
        <v>17397474.156928007</v>
      </c>
      <c r="DX46" s="252">
        <v>17305811.986720432</v>
      </c>
      <c r="DY46" s="172">
        <f t="shared" si="105"/>
        <v>-91662.170207574964</v>
      </c>
      <c r="DZ46" s="173">
        <f t="shared" si="106"/>
        <v>-5.3080281295267637E-3</v>
      </c>
      <c r="EA46" s="172">
        <f t="shared" si="107"/>
        <v>17305811.986720432</v>
      </c>
      <c r="EB46" s="252">
        <v>17171549.850144949</v>
      </c>
      <c r="EC46" s="172">
        <f t="shared" si="108"/>
        <v>-134262.13657548279</v>
      </c>
      <c r="ED46" s="173">
        <f t="shared" si="109"/>
        <v>-7.7749326255220162E-3</v>
      </c>
      <c r="EE46" s="172">
        <f t="shared" si="110"/>
        <v>17171549.850144949</v>
      </c>
      <c r="EF46" s="252">
        <v>17267667.722947855</v>
      </c>
      <c r="EG46" s="172">
        <f t="shared" si="111"/>
        <v>96117.872802905738</v>
      </c>
      <c r="EH46" s="173">
        <f t="shared" si="112"/>
        <v>5.56605163758098E-3</v>
      </c>
      <c r="EI46" s="172">
        <f t="shared" si="113"/>
        <v>17267667.722947855</v>
      </c>
      <c r="EJ46" s="252">
        <v>17268591.644737024</v>
      </c>
      <c r="EK46" s="172">
        <f t="shared" si="114"/>
        <v>923.92178916931152</v>
      </c>
      <c r="EL46" s="173">
        <f t="shared" si="115"/>
        <v>5.35030191330569E-5</v>
      </c>
      <c r="EM46" s="172">
        <f t="shared" si="116"/>
        <v>0</v>
      </c>
      <c r="EN46" s="173">
        <f t="shared" si="150"/>
        <v>0</v>
      </c>
      <c r="EO46" s="214"/>
      <c r="EP46" s="273">
        <v>9236138.9997543376</v>
      </c>
      <c r="EQ46" s="273">
        <v>8677209.7142828368</v>
      </c>
      <c r="ER46" s="172">
        <f t="shared" si="117"/>
        <v>-558929.28547150083</v>
      </c>
      <c r="ES46" s="173">
        <f t="shared" si="18"/>
        <v>-6.0515469233016872E-2</v>
      </c>
      <c r="ET46" s="273">
        <v>5340478.1727990238</v>
      </c>
      <c r="EU46" s="273">
        <v>5017325.7672888814</v>
      </c>
      <c r="EV46" s="172">
        <f t="shared" si="118"/>
        <v>-323152.40551014245</v>
      </c>
      <c r="EW46" s="173">
        <f t="shared" si="19"/>
        <v>-6.0510013346009701E-2</v>
      </c>
      <c r="EX46" s="273">
        <v>3078346.1100000003</v>
      </c>
      <c r="EY46" s="273">
        <v>2889875.94</v>
      </c>
      <c r="EZ46" s="172">
        <f t="shared" si="119"/>
        <v>-188470.17000000039</v>
      </c>
      <c r="FA46" s="173">
        <f t="shared" si="20"/>
        <v>-6.1224489795918491E-2</v>
      </c>
      <c r="FB46" s="172">
        <f t="shared" si="120"/>
        <v>8677209.7142828368</v>
      </c>
      <c r="FC46" s="273">
        <v>8854008.7241171673</v>
      </c>
      <c r="FD46" s="172">
        <f t="shared" si="121"/>
        <v>176799.00983433053</v>
      </c>
      <c r="FE46" s="173">
        <f t="shared" si="21"/>
        <v>2.0375099329835986E-2</v>
      </c>
      <c r="FF46" s="172">
        <f t="shared" si="122"/>
        <v>5017325.7672888814</v>
      </c>
      <c r="FG46" s="273">
        <v>5090001.7071390077</v>
      </c>
      <c r="FH46" s="172">
        <f t="shared" si="123"/>
        <v>72675.939850126393</v>
      </c>
      <c r="FI46" s="173">
        <f t="shared" si="22"/>
        <v>1.4484995238688066E-2</v>
      </c>
      <c r="FJ46" s="172">
        <f t="shared" si="124"/>
        <v>8854008.7241171673</v>
      </c>
      <c r="FK46" s="273">
        <v>8818251.2183927987</v>
      </c>
      <c r="FL46" s="172">
        <f t="shared" si="125"/>
        <v>-35757.505724368617</v>
      </c>
      <c r="FM46" s="173">
        <f t="shared" si="23"/>
        <v>-4.0385668049964562E-3</v>
      </c>
      <c r="FN46" s="172">
        <f t="shared" si="126"/>
        <v>5090001.7071390077</v>
      </c>
      <c r="FO46" s="273">
        <v>5075338.9886635933</v>
      </c>
      <c r="FP46" s="172">
        <f t="shared" si="127"/>
        <v>-14662.71847541444</v>
      </c>
      <c r="FQ46" s="173">
        <f t="shared" si="24"/>
        <v>-2.8806902863802914E-3</v>
      </c>
      <c r="FR46" s="172">
        <f t="shared" si="128"/>
        <v>5075338.9886635933</v>
      </c>
      <c r="FS46" s="273">
        <v>4652124.0324363839</v>
      </c>
      <c r="FT46" s="172">
        <f t="shared" si="129"/>
        <v>-423214.95622720942</v>
      </c>
      <c r="FU46" s="173">
        <f t="shared" si="25"/>
        <v>-8.3386539731141726E-2</v>
      </c>
      <c r="FV46" s="172">
        <f t="shared" si="26"/>
        <v>2889875.94</v>
      </c>
      <c r="FW46" s="273">
        <v>3140308.68</v>
      </c>
      <c r="FX46" s="172">
        <f t="shared" si="130"/>
        <v>250432.74000000022</v>
      </c>
      <c r="FY46" s="173">
        <f t="shared" si="27"/>
        <v>8.665864736048158E-2</v>
      </c>
      <c r="FZ46" s="214"/>
      <c r="GA46" s="172">
        <f t="shared" si="151"/>
        <v>9236138.9997543376</v>
      </c>
      <c r="GB46" s="172">
        <f t="shared" si="152"/>
        <v>-558929.28547150083</v>
      </c>
      <c r="GC46" s="172">
        <f t="shared" si="153"/>
        <v>176799.00983433053</v>
      </c>
      <c r="GD46" s="172">
        <f t="shared" si="154"/>
        <v>-35757.505724368617</v>
      </c>
      <c r="GE46" s="172">
        <f t="shared" si="155"/>
        <v>-417887.78136153892</v>
      </c>
      <c r="GF46" s="172">
        <f t="shared" si="156"/>
        <v>8818251.2183927987</v>
      </c>
      <c r="GG46" s="173">
        <f t="shared" si="157"/>
        <v>-4.524485625136801E-2</v>
      </c>
      <c r="GH46" s="244"/>
      <c r="GI46" s="172">
        <f t="shared" si="158"/>
        <v>5340478.1727990238</v>
      </c>
      <c r="GJ46" s="172">
        <f t="shared" si="159"/>
        <v>-323152.40551014245</v>
      </c>
      <c r="GK46" s="172">
        <f t="shared" si="160"/>
        <v>72675.939850126393</v>
      </c>
      <c r="GL46" s="172">
        <f t="shared" si="161"/>
        <v>-14662.71847541444</v>
      </c>
      <c r="GM46" s="172">
        <f t="shared" si="162"/>
        <v>-423214.95622720942</v>
      </c>
      <c r="GN46" s="172">
        <f t="shared" si="163"/>
        <v>-688354.14036263991</v>
      </c>
      <c r="GO46" s="172">
        <f t="shared" si="164"/>
        <v>4652124.0324363839</v>
      </c>
      <c r="GP46" s="173">
        <f t="shared" si="165"/>
        <v>-0.12889372788164835</v>
      </c>
      <c r="GQ46" s="214"/>
      <c r="GR46" s="172">
        <f t="shared" si="166"/>
        <v>3078346.1100000003</v>
      </c>
      <c r="GS46" s="172">
        <f t="shared" si="167"/>
        <v>-188470.17000000039</v>
      </c>
      <c r="GT46" s="172">
        <f t="shared" si="168"/>
        <v>250432.74000000022</v>
      </c>
      <c r="GU46" s="172">
        <f t="shared" si="131"/>
        <v>61962.569999999832</v>
      </c>
      <c r="GV46" s="172">
        <f t="shared" si="132"/>
        <v>3140308.68</v>
      </c>
      <c r="GW46" s="173">
        <f t="shared" si="133"/>
        <v>2.0128526093513191E-2</v>
      </c>
      <c r="GX46" s="214"/>
      <c r="GY46" s="273">
        <v>-386371.63781633682</v>
      </c>
      <c r="GZ46" s="172" t="e">
        <f t="shared" si="134"/>
        <v>#REF!</v>
      </c>
      <c r="HA46" s="172" t="e">
        <f>-VLOOKUP($B46,#REF!,23,FALSE)</f>
        <v>#REF!</v>
      </c>
    </row>
    <row r="47" spans="1:209" ht="15" customHeight="1" x14ac:dyDescent="0.45">
      <c r="A47" s="148">
        <v>3</v>
      </c>
      <c r="B47" s="215" t="s">
        <v>46</v>
      </c>
      <c r="C47" s="172">
        <v>29770060.491871126</v>
      </c>
      <c r="D47" s="173">
        <f t="shared" si="0"/>
        <v>2.0666649917050993E-2</v>
      </c>
      <c r="E47" s="1"/>
      <c r="F47" s="252">
        <v>42198583.016261883</v>
      </c>
      <c r="G47" s="173">
        <f t="shared" si="1"/>
        <v>1.7955923076034844E-2</v>
      </c>
      <c r="H47" s="173">
        <f t="shared" si="46"/>
        <v>0.86883569171123054</v>
      </c>
      <c r="I47" s="172" t="e">
        <f>VLOOKUP($B47,#REF!,24,FALSE)</f>
        <v>#REF!</v>
      </c>
      <c r="J47" s="173" t="e">
        <f t="shared" si="136"/>
        <v>#REF!</v>
      </c>
      <c r="K47" s="173" t="e">
        <f t="shared" si="47"/>
        <v>#REF!</v>
      </c>
      <c r="L47" s="172" t="e">
        <f t="shared" si="48"/>
        <v>#REF!</v>
      </c>
      <c r="M47" s="173" t="e">
        <f t="shared" si="137"/>
        <v>#REF!</v>
      </c>
      <c r="N47" s="173" t="e">
        <f t="shared" si="50"/>
        <v>#REF!</v>
      </c>
      <c r="O47" s="176"/>
      <c r="P47" s="253">
        <v>275</v>
      </c>
      <c r="Q47" s="173">
        <f t="shared" si="138"/>
        <v>1.5296473467571476E-2</v>
      </c>
      <c r="R47" s="172" t="e">
        <f>VLOOKUP($B47,#REF!,4,FALSE)</f>
        <v>#REF!</v>
      </c>
      <c r="S47" s="173" t="e">
        <f t="shared" si="139"/>
        <v>#REF!</v>
      </c>
      <c r="T47" s="172" t="e">
        <f t="shared" si="51"/>
        <v>#REF!</v>
      </c>
      <c r="U47" s="173" t="e">
        <f t="shared" si="52"/>
        <v>#REF!</v>
      </c>
      <c r="V47" s="173" t="e">
        <f t="shared" si="53"/>
        <v>#REF!</v>
      </c>
      <c r="W47" s="1"/>
      <c r="X47" s="189">
        <f>VLOOKUP($B47,'Average RAS salary'!$A$5:$D$62,4,FALSE)</f>
        <v>78921.229092757218</v>
      </c>
      <c r="Y47" s="253">
        <v>83835.52554943625</v>
      </c>
      <c r="Z47" s="252" t="s">
        <v>272</v>
      </c>
      <c r="AA47" s="252" t="s">
        <v>272</v>
      </c>
      <c r="AB47" s="173">
        <f t="shared" si="5"/>
        <v>1.4371175882520681</v>
      </c>
      <c r="AC47" s="172" t="e">
        <f>VLOOKUP($B47,#REF!,3,FALSE)</f>
        <v>#REF!</v>
      </c>
      <c r="AD47" s="172" t="e">
        <f>VLOOKUP($B47,#REF!,5,FALSE)</f>
        <v>#REF!</v>
      </c>
      <c r="AE47" s="172" t="e">
        <f>VLOOKUP($B47,#REF!,6,FALSE)</f>
        <v>#REF!</v>
      </c>
      <c r="AF47" s="173" t="e">
        <f t="shared" si="6"/>
        <v>#REF!</v>
      </c>
      <c r="AG47" s="172" t="e">
        <f t="shared" si="140"/>
        <v>#REF!</v>
      </c>
      <c r="AH47" s="173" t="e">
        <f t="shared" si="141"/>
        <v>#REF!</v>
      </c>
      <c r="AI47" s="173" t="e">
        <f t="shared" si="142"/>
        <v>#REF!</v>
      </c>
      <c r="AJ47" s="189">
        <v>72449.746280991749</v>
      </c>
      <c r="AK47" s="189">
        <f>VLOOKUP($B47,'Average RAS salary'!$A$5:$D$62,4,FALSE)</f>
        <v>78921.229092757218</v>
      </c>
      <c r="AL47" s="189">
        <f t="shared" si="55"/>
        <v>6471.4828117654688</v>
      </c>
      <c r="AM47" s="173">
        <f t="shared" si="56"/>
        <v>8.9323747065534684E-2</v>
      </c>
      <c r="AN47" s="189" t="e">
        <f t="shared" si="57"/>
        <v>#REF!</v>
      </c>
      <c r="AO47" s="189" t="e">
        <f t="shared" si="58"/>
        <v>#REF!</v>
      </c>
      <c r="AP47" s="189" t="e">
        <f t="shared" si="59"/>
        <v>#REF!</v>
      </c>
      <c r="AQ47" s="189" t="e">
        <f t="shared" si="135"/>
        <v>#REF!</v>
      </c>
      <c r="AR47" s="189" t="e">
        <f t="shared" si="60"/>
        <v>#REF!</v>
      </c>
      <c r="AS47" s="189" t="e">
        <f t="shared" si="143"/>
        <v>#REF!</v>
      </c>
      <c r="AT47" s="213" t="e">
        <f t="shared" si="61"/>
        <v>#REF!</v>
      </c>
      <c r="AU47" s="173" t="e">
        <f t="shared" si="62"/>
        <v>#REF!</v>
      </c>
      <c r="AV47" s="189"/>
      <c r="AW47" s="189">
        <f>VLOOKUP($B47,'Average RAS salary'!$A$5:$D$62,4,FALSE)</f>
        <v>78921.229092757218</v>
      </c>
      <c r="AX47" s="189" t="e">
        <f t="shared" si="144"/>
        <v>#REF!</v>
      </c>
      <c r="AY47" s="189">
        <v>74656.116274325264</v>
      </c>
      <c r="AZ47" s="189" t="e">
        <f t="shared" si="145"/>
        <v>#REF!</v>
      </c>
      <c r="BA47" s="189" t="e">
        <f t="shared" si="63"/>
        <v>#REF!</v>
      </c>
      <c r="BB47" s="189" t="e">
        <f t="shared" si="64"/>
        <v>#REF!</v>
      </c>
      <c r="BC47" s="189" t="e">
        <f t="shared" si="65"/>
        <v>#REF!</v>
      </c>
      <c r="BD47" s="213">
        <f t="shared" si="66"/>
        <v>-4265.1128184319532</v>
      </c>
      <c r="BE47" s="173">
        <f t="shared" si="169"/>
        <v>-5.4042655790612522E-2</v>
      </c>
      <c r="BF47" s="189"/>
      <c r="BG47" s="189">
        <f>VLOOKUP($B47,'Average RAS salary'!$A$5:$D$62,4,FALSE)</f>
        <v>78921.229092757218</v>
      </c>
      <c r="BH47" s="189" t="e">
        <f t="shared" si="68"/>
        <v>#REF!</v>
      </c>
      <c r="BI47" s="189" t="e">
        <f>$BG$65*#REF!</f>
        <v>#REF!</v>
      </c>
      <c r="BJ47" s="189" t="e">
        <f t="shared" si="69"/>
        <v>#REF!</v>
      </c>
      <c r="BK47" s="189" t="e">
        <f t="shared" si="146"/>
        <v>#REF!</v>
      </c>
      <c r="BL47" s="189" t="e">
        <f t="shared" si="147"/>
        <v>#REF!</v>
      </c>
      <c r="BM47" s="189" t="e">
        <f t="shared" si="70"/>
        <v>#REF!</v>
      </c>
      <c r="BN47" s="213" t="e">
        <f t="shared" si="71"/>
        <v>#REF!</v>
      </c>
      <c r="BO47" s="173" t="e">
        <f t="shared" si="72"/>
        <v>#REF!</v>
      </c>
      <c r="BP47" s="189"/>
      <c r="BQ47" s="189">
        <f>VLOOKUP($B47,'Average RAS salary'!$A$5:$D$62,4,FALSE)</f>
        <v>78921.229092757218</v>
      </c>
      <c r="BR47" s="189" t="e">
        <f t="shared" si="73"/>
        <v>#REF!</v>
      </c>
      <c r="BS47" s="189" t="e">
        <f>VLOOKUP($B47,#REF!,19,FALSE)*$BQ$65</f>
        <v>#REF!</v>
      </c>
      <c r="BT47" s="189" t="e">
        <f t="shared" si="74"/>
        <v>#REF!</v>
      </c>
      <c r="BU47" s="189" t="e">
        <f t="shared" si="75"/>
        <v>#REF!</v>
      </c>
      <c r="BV47" s="189" t="e">
        <f t="shared" si="76"/>
        <v>#REF!</v>
      </c>
      <c r="BW47" s="189" t="e">
        <f t="shared" si="77"/>
        <v>#REF!</v>
      </c>
      <c r="BX47" s="213" t="e">
        <f t="shared" si="78"/>
        <v>#REF!</v>
      </c>
      <c r="BY47" s="173" t="e">
        <f t="shared" si="79"/>
        <v>#REF!</v>
      </c>
      <c r="BZ47" s="189"/>
      <c r="CA47" s="189">
        <f>VLOOKUP($B47,'Average RAS salary'!$A$5:$D$62,4,FALSE)</f>
        <v>78921.229092757218</v>
      </c>
      <c r="CB47" s="189" t="e">
        <f t="shared" si="80"/>
        <v>#REF!</v>
      </c>
      <c r="CC47" s="189" t="e">
        <f>IF(VLOOKUP($B47,#REF!,7,FALSE)&gt;VLOOKUP($B47,#REF!,19,FALSE)*$CA$65,VLOOKUP($B47,#REF!,19,FALSE)*$CA$65,VLOOKUP($B47,#REF!,7,FALSE))</f>
        <v>#REF!</v>
      </c>
      <c r="CD47" s="189" t="e">
        <f t="shared" si="81"/>
        <v>#REF!</v>
      </c>
      <c r="CE47" s="189" t="e">
        <f t="shared" si="82"/>
        <v>#REF!</v>
      </c>
      <c r="CF47" s="189" t="e">
        <f t="shared" si="83"/>
        <v>#REF!</v>
      </c>
      <c r="CG47" s="189" t="e">
        <f t="shared" si="84"/>
        <v>#REF!</v>
      </c>
      <c r="CH47" s="213" t="e">
        <f t="shared" si="85"/>
        <v>#REF!</v>
      </c>
      <c r="CI47" s="173" t="e">
        <f t="shared" si="86"/>
        <v>#REF!</v>
      </c>
      <c r="CJ47" s="189"/>
      <c r="CK47" s="189">
        <f>VLOOKUP($B47,'Average RAS salary'!$A$5:$D$62,4,FALSE)</f>
        <v>78921.229092757218</v>
      </c>
      <c r="CL47" s="189" t="e">
        <f t="shared" si="87"/>
        <v>#REF!</v>
      </c>
      <c r="CM47" s="189" t="e">
        <f>IF($AY47&gt;VLOOKUP($B47,#REF!,19,FALSE)*$CK$65,VLOOKUP($B47,#REF!,19,FALSE)*$CK$65,$AY47)</f>
        <v>#REF!</v>
      </c>
      <c r="CN47" s="189" t="e">
        <f t="shared" si="88"/>
        <v>#REF!</v>
      </c>
      <c r="CO47" s="189" t="e">
        <f t="shared" si="89"/>
        <v>#REF!</v>
      </c>
      <c r="CP47" s="189" t="e">
        <f t="shared" si="90"/>
        <v>#REF!</v>
      </c>
      <c r="CQ47" s="189" t="e">
        <f t="shared" si="91"/>
        <v>#REF!</v>
      </c>
      <c r="CR47" s="213" t="e">
        <f t="shared" si="92"/>
        <v>#REF!</v>
      </c>
      <c r="CS47" s="173" t="e">
        <f t="shared" si="93"/>
        <v>#REF!</v>
      </c>
      <c r="CT47" s="1"/>
      <c r="CU47" s="254">
        <v>0.39377443782183391</v>
      </c>
      <c r="CV47" s="252">
        <v>17126.521938775521</v>
      </c>
      <c r="CW47" s="254">
        <v>0.40903865084375984</v>
      </c>
      <c r="CX47" s="255">
        <v>14301.004392857143</v>
      </c>
      <c r="CY47" s="190" t="e">
        <f>VLOOKUP($B47,#REF!,13,FALSE)</f>
        <v>#REF!</v>
      </c>
      <c r="CZ47" s="172" t="e">
        <f>VLOOKUP($B47,#REF!,14,FALSE)</f>
        <v>#REF!</v>
      </c>
      <c r="DA47" s="190" t="e">
        <f>VLOOKUP($B47,#REF!,15,FALSE)</f>
        <v>#REF!</v>
      </c>
      <c r="DB47" s="189" t="e">
        <f>VLOOKUP($B47,#REF!,16,FALSE)</f>
        <v>#REF!</v>
      </c>
      <c r="DC47" s="190" t="e">
        <f t="shared" si="94"/>
        <v>#REF!</v>
      </c>
      <c r="DD47" s="190" t="e">
        <f t="shared" si="95"/>
        <v>#REF!</v>
      </c>
      <c r="DE47" s="190" t="e">
        <f t="shared" si="96"/>
        <v>#REF!</v>
      </c>
      <c r="DF47" s="190" t="e">
        <f t="shared" si="97"/>
        <v>#REF!</v>
      </c>
      <c r="DG47" s="1"/>
      <c r="DH47" s="253" t="s">
        <v>272</v>
      </c>
      <c r="DI47" s="253">
        <v>0</v>
      </c>
      <c r="DJ47" s="173">
        <f t="shared" si="98"/>
        <v>0</v>
      </c>
      <c r="DK47" s="172" t="e">
        <f>IF(VLOOKUP($B47,#REF!,6,FALSE)="Y","Yes","")</f>
        <v>#REF!</v>
      </c>
      <c r="DL47" s="172" t="e">
        <f>VLOOKUP($B47,#REF!,4,FALSE)</f>
        <v>#REF!</v>
      </c>
      <c r="DM47" s="173" t="e">
        <f t="shared" si="148"/>
        <v>#REF!</v>
      </c>
      <c r="DN47" s="1"/>
      <c r="DO47" s="172">
        <f t="shared" si="99"/>
        <v>42198583.016261883</v>
      </c>
      <c r="DP47" s="252">
        <v>42197212.43633616</v>
      </c>
      <c r="DQ47" s="172">
        <f t="shared" si="100"/>
        <v>-1370.5799257233739</v>
      </c>
      <c r="DR47" s="173">
        <f t="shared" si="149"/>
        <v>-3.2479287875500454E-5</v>
      </c>
      <c r="DS47" s="172">
        <f t="shared" si="101"/>
        <v>42197212.43633616</v>
      </c>
      <c r="DT47" s="252">
        <v>43036811.960696265</v>
      </c>
      <c r="DU47" s="172">
        <f t="shared" si="102"/>
        <v>839599.5243601054</v>
      </c>
      <c r="DV47" s="173">
        <f t="shared" si="103"/>
        <v>1.9896391403392683E-2</v>
      </c>
      <c r="DW47" s="172">
        <f t="shared" si="104"/>
        <v>43036811.960696265</v>
      </c>
      <c r="DX47" s="252">
        <v>42862215.791051097</v>
      </c>
      <c r="DY47" s="172">
        <f t="shared" si="105"/>
        <v>-174596.16964516789</v>
      </c>
      <c r="DZ47" s="173">
        <f t="shared" si="106"/>
        <v>-4.1374889194237758E-3</v>
      </c>
      <c r="EA47" s="172">
        <f t="shared" si="107"/>
        <v>42862215.791051097</v>
      </c>
      <c r="EB47" s="252">
        <v>42042107.563307889</v>
      </c>
      <c r="EC47" s="172">
        <f t="shared" si="108"/>
        <v>-820108.22774320841</v>
      </c>
      <c r="ED47" s="173">
        <f t="shared" si="109"/>
        <v>-1.9434496827231543E-2</v>
      </c>
      <c r="EE47" s="172">
        <f t="shared" si="110"/>
        <v>42042107.563307889</v>
      </c>
      <c r="EF47" s="252">
        <v>42221919.910388149</v>
      </c>
      <c r="EG47" s="172">
        <f t="shared" si="111"/>
        <v>179812.34708026052</v>
      </c>
      <c r="EH47" s="173">
        <f t="shared" si="112"/>
        <v>4.2610991703433982E-3</v>
      </c>
      <c r="EI47" s="172">
        <f t="shared" si="113"/>
        <v>42221919.910388149</v>
      </c>
      <c r="EJ47" s="252">
        <v>42198583.016261883</v>
      </c>
      <c r="EK47" s="172">
        <f t="shared" si="114"/>
        <v>-23336.894126266241</v>
      </c>
      <c r="EL47" s="173">
        <f t="shared" si="115"/>
        <v>-5.5302553920526199E-4</v>
      </c>
      <c r="EM47" s="172">
        <f t="shared" si="116"/>
        <v>0</v>
      </c>
      <c r="EN47" s="173">
        <f t="shared" si="150"/>
        <v>0</v>
      </c>
      <c r="EO47" s="214"/>
      <c r="EP47" s="273">
        <v>23246103.78274525</v>
      </c>
      <c r="EQ47" s="273">
        <v>23246103.78274525</v>
      </c>
      <c r="ER47" s="172">
        <f t="shared" si="117"/>
        <v>0</v>
      </c>
      <c r="ES47" s="173">
        <f t="shared" si="18"/>
        <v>0</v>
      </c>
      <c r="ET47" s="273">
        <v>13807693.848058874</v>
      </c>
      <c r="EU47" s="273">
        <v>13807693.848058874</v>
      </c>
      <c r="EV47" s="172">
        <f t="shared" si="118"/>
        <v>0</v>
      </c>
      <c r="EW47" s="173">
        <f t="shared" si="19"/>
        <v>0</v>
      </c>
      <c r="EX47" s="273">
        <v>5758810.75</v>
      </c>
      <c r="EY47" s="273">
        <v>5758810.75</v>
      </c>
      <c r="EZ47" s="172">
        <f t="shared" si="119"/>
        <v>0</v>
      </c>
      <c r="FA47" s="173">
        <f t="shared" si="20"/>
        <v>0</v>
      </c>
      <c r="FB47" s="172">
        <f t="shared" si="120"/>
        <v>23246103.78274525</v>
      </c>
      <c r="FC47" s="273">
        <v>23710862.925481748</v>
      </c>
      <c r="FD47" s="172">
        <f t="shared" si="121"/>
        <v>464759.14273649827</v>
      </c>
      <c r="FE47" s="173">
        <f t="shared" si="21"/>
        <v>1.9992990957971732E-2</v>
      </c>
      <c r="FF47" s="172">
        <f t="shared" si="122"/>
        <v>13807693.848058874</v>
      </c>
      <c r="FG47" s="273">
        <v>13991779.173199151</v>
      </c>
      <c r="FH47" s="172">
        <f t="shared" si="123"/>
        <v>184085.32514027692</v>
      </c>
      <c r="FI47" s="173">
        <f t="shared" si="22"/>
        <v>1.3332083341792532E-2</v>
      </c>
      <c r="FJ47" s="172">
        <f t="shared" si="124"/>
        <v>23710862.925481748</v>
      </c>
      <c r="FK47" s="273">
        <v>24005912.119092084</v>
      </c>
      <c r="FL47" s="172">
        <f t="shared" si="125"/>
        <v>295049.19361033663</v>
      </c>
      <c r="FM47" s="173">
        <f t="shared" si="23"/>
        <v>1.2443629510136943E-2</v>
      </c>
      <c r="FN47" s="172">
        <f t="shared" si="126"/>
        <v>13991779.173199151</v>
      </c>
      <c r="FO47" s="273">
        <v>14108616.831975766</v>
      </c>
      <c r="FP47" s="172">
        <f t="shared" si="127"/>
        <v>116837.65877661481</v>
      </c>
      <c r="FQ47" s="173">
        <f t="shared" si="24"/>
        <v>8.3504504559658837E-3</v>
      </c>
      <c r="FR47" s="172">
        <f t="shared" si="128"/>
        <v>14108616.831975766</v>
      </c>
      <c r="FS47" s="273">
        <v>13502571.662626792</v>
      </c>
      <c r="FT47" s="172">
        <f t="shared" si="129"/>
        <v>-606045.16934897378</v>
      </c>
      <c r="FU47" s="173">
        <f t="shared" si="25"/>
        <v>-4.2955675709856485E-2</v>
      </c>
      <c r="FV47" s="172">
        <f t="shared" si="26"/>
        <v>5758810.75</v>
      </c>
      <c r="FW47" s="273">
        <v>6257861.5</v>
      </c>
      <c r="FX47" s="172">
        <f t="shared" si="130"/>
        <v>499050.75</v>
      </c>
      <c r="FY47" s="173">
        <f t="shared" si="27"/>
        <v>8.6658647360481497E-2</v>
      </c>
      <c r="FZ47" s="214"/>
      <c r="GA47" s="172">
        <f t="shared" si="151"/>
        <v>23246103.78274525</v>
      </c>
      <c r="GB47" s="172">
        <f t="shared" si="152"/>
        <v>0</v>
      </c>
      <c r="GC47" s="172">
        <f t="shared" si="153"/>
        <v>464759.14273649827</v>
      </c>
      <c r="GD47" s="172">
        <f t="shared" si="154"/>
        <v>295049.19361033663</v>
      </c>
      <c r="GE47" s="172">
        <f t="shared" si="155"/>
        <v>759808.3363468349</v>
      </c>
      <c r="GF47" s="172">
        <f t="shared" si="156"/>
        <v>24005912.119092084</v>
      </c>
      <c r="GG47" s="173">
        <f t="shared" si="157"/>
        <v>3.2685405840389196E-2</v>
      </c>
      <c r="GH47" s="244"/>
      <c r="GI47" s="172">
        <f t="shared" si="158"/>
        <v>13807693.848058874</v>
      </c>
      <c r="GJ47" s="172">
        <f t="shared" si="159"/>
        <v>0</v>
      </c>
      <c r="GK47" s="172">
        <f t="shared" si="160"/>
        <v>184085.32514027692</v>
      </c>
      <c r="GL47" s="172">
        <f t="shared" si="161"/>
        <v>116837.65877661481</v>
      </c>
      <c r="GM47" s="172">
        <f t="shared" si="162"/>
        <v>-606045.16934897378</v>
      </c>
      <c r="GN47" s="172">
        <f t="shared" si="163"/>
        <v>-305122.18543208204</v>
      </c>
      <c r="GO47" s="172">
        <f t="shared" si="164"/>
        <v>13502571.662626792</v>
      </c>
      <c r="GP47" s="173">
        <f t="shared" si="165"/>
        <v>-2.2097983109248692E-2</v>
      </c>
      <c r="GQ47" s="214"/>
      <c r="GR47" s="172">
        <f t="shared" si="166"/>
        <v>5758810.75</v>
      </c>
      <c r="GS47" s="172">
        <f t="shared" si="167"/>
        <v>0</v>
      </c>
      <c r="GT47" s="172">
        <f t="shared" si="168"/>
        <v>499050.75</v>
      </c>
      <c r="GU47" s="172">
        <f t="shared" si="131"/>
        <v>499050.75</v>
      </c>
      <c r="GV47" s="172">
        <f t="shared" si="132"/>
        <v>6257861.5</v>
      </c>
      <c r="GW47" s="173">
        <f t="shared" si="133"/>
        <v>8.6658647360481497E-2</v>
      </c>
      <c r="GX47" s="214"/>
      <c r="GY47" s="273">
        <v>-614025.36454223946</v>
      </c>
      <c r="GZ47" s="172" t="e">
        <f t="shared" si="134"/>
        <v>#REF!</v>
      </c>
      <c r="HA47" s="172" t="e">
        <f>-VLOOKUP($B47,#REF!,23,FALSE)</f>
        <v>#REF!</v>
      </c>
    </row>
    <row r="48" spans="1:209" ht="15" customHeight="1" x14ac:dyDescent="0.45">
      <c r="A48" s="148">
        <v>3</v>
      </c>
      <c r="B48" s="215" t="s">
        <v>47</v>
      </c>
      <c r="C48" s="172">
        <v>18365325.694206048</v>
      </c>
      <c r="D48" s="173">
        <f t="shared" si="0"/>
        <v>1.2749378081996708E-2</v>
      </c>
      <c r="E48" s="1"/>
      <c r="F48" s="252">
        <v>26429842.864841968</v>
      </c>
      <c r="G48" s="173">
        <f t="shared" si="1"/>
        <v>1.1246164953214352E-2</v>
      </c>
      <c r="H48" s="173">
        <f t="shared" si="46"/>
        <v>0.8820951799284209</v>
      </c>
      <c r="I48" s="172" t="e">
        <f>VLOOKUP($B48,#REF!,24,FALSE)</f>
        <v>#REF!</v>
      </c>
      <c r="J48" s="173" t="e">
        <f t="shared" si="136"/>
        <v>#REF!</v>
      </c>
      <c r="K48" s="173" t="e">
        <f t="shared" si="47"/>
        <v>#REF!</v>
      </c>
      <c r="L48" s="172" t="e">
        <f t="shared" si="48"/>
        <v>#REF!</v>
      </c>
      <c r="M48" s="173" t="e">
        <f t="shared" si="137"/>
        <v>#REF!</v>
      </c>
      <c r="N48" s="173" t="e">
        <f t="shared" si="50"/>
        <v>#REF!</v>
      </c>
      <c r="O48" s="176"/>
      <c r="P48" s="253">
        <v>212</v>
      </c>
      <c r="Q48" s="173">
        <f t="shared" si="138"/>
        <v>1.1792190455000556E-2</v>
      </c>
      <c r="R48" s="172" t="e">
        <f>VLOOKUP($B48,#REF!,4,FALSE)</f>
        <v>#REF!</v>
      </c>
      <c r="S48" s="173" t="e">
        <f t="shared" si="139"/>
        <v>#REF!</v>
      </c>
      <c r="T48" s="172" t="e">
        <f t="shared" si="51"/>
        <v>#REF!</v>
      </c>
      <c r="U48" s="173" t="e">
        <f t="shared" si="52"/>
        <v>#REF!</v>
      </c>
      <c r="V48" s="173" t="e">
        <f t="shared" si="53"/>
        <v>#REF!</v>
      </c>
      <c r="W48" s="1"/>
      <c r="X48" s="189">
        <f>VLOOKUP($B48,'Average RAS salary'!$A$5:$D$62,4,FALSE)</f>
        <v>64777.50736705304</v>
      </c>
      <c r="Y48" s="253">
        <v>69470.594512688898</v>
      </c>
      <c r="Z48" s="252" t="s">
        <v>272</v>
      </c>
      <c r="AA48" s="252" t="s">
        <v>272</v>
      </c>
      <c r="AB48" s="173">
        <f t="shared" si="5"/>
        <v>1.190872396710158</v>
      </c>
      <c r="AC48" s="172" t="e">
        <f>VLOOKUP($B48,#REF!,3,FALSE)</f>
        <v>#REF!</v>
      </c>
      <c r="AD48" s="172" t="e">
        <f>VLOOKUP($B48,#REF!,5,FALSE)</f>
        <v>#REF!</v>
      </c>
      <c r="AE48" s="172" t="e">
        <f>VLOOKUP($B48,#REF!,6,FALSE)</f>
        <v>#REF!</v>
      </c>
      <c r="AF48" s="173" t="e">
        <f t="shared" si="6"/>
        <v>#REF!</v>
      </c>
      <c r="AG48" s="172" t="e">
        <f t="shared" si="140"/>
        <v>#REF!</v>
      </c>
      <c r="AH48" s="173" t="e">
        <f t="shared" si="141"/>
        <v>#REF!</v>
      </c>
      <c r="AI48" s="173" t="e">
        <f t="shared" si="142"/>
        <v>#REF!</v>
      </c>
      <c r="AJ48" s="189">
        <v>61694.816420267824</v>
      </c>
      <c r="AK48" s="189">
        <f>VLOOKUP($B48,'Average RAS salary'!$A$5:$D$62,4,FALSE)</f>
        <v>64777.50736705304</v>
      </c>
      <c r="AL48" s="189">
        <f t="shared" si="55"/>
        <v>3082.6909467852165</v>
      </c>
      <c r="AM48" s="173">
        <f t="shared" si="56"/>
        <v>4.9966773963403814E-2</v>
      </c>
      <c r="AN48" s="189" t="e">
        <f t="shared" si="57"/>
        <v>#REF!</v>
      </c>
      <c r="AO48" s="189" t="e">
        <f t="shared" si="58"/>
        <v>#REF!</v>
      </c>
      <c r="AP48" s="189" t="e">
        <f t="shared" si="59"/>
        <v>#REF!</v>
      </c>
      <c r="AQ48" s="189" t="e">
        <f t="shared" si="135"/>
        <v>#REF!</v>
      </c>
      <c r="AR48" s="189" t="e">
        <f t="shared" si="60"/>
        <v>#REF!</v>
      </c>
      <c r="AS48" s="189" t="e">
        <f t="shared" si="143"/>
        <v>#REF!</v>
      </c>
      <c r="AT48" s="213" t="e">
        <f t="shared" si="61"/>
        <v>#REF!</v>
      </c>
      <c r="AU48" s="173" t="e">
        <f t="shared" si="62"/>
        <v>#REF!</v>
      </c>
      <c r="AV48" s="189"/>
      <c r="AW48" s="189">
        <f>VLOOKUP($B48,'Average RAS salary'!$A$5:$D$62,4,FALSE)</f>
        <v>64777.50736705304</v>
      </c>
      <c r="AX48" s="189" t="e">
        <f t="shared" si="144"/>
        <v>#REF!</v>
      </c>
      <c r="AY48" s="189">
        <v>60247.396645790497</v>
      </c>
      <c r="AZ48" s="189" t="e">
        <f t="shared" si="145"/>
        <v>#REF!</v>
      </c>
      <c r="BA48" s="189" t="e">
        <f t="shared" si="63"/>
        <v>#REF!</v>
      </c>
      <c r="BB48" s="189" t="e">
        <f t="shared" si="64"/>
        <v>#REF!</v>
      </c>
      <c r="BC48" s="189" t="e">
        <f t="shared" si="65"/>
        <v>#REF!</v>
      </c>
      <c r="BD48" s="213">
        <f t="shared" si="66"/>
        <v>-4530.1107212625429</v>
      </c>
      <c r="BE48" s="173">
        <f t="shared" si="169"/>
        <v>-6.9933390545475593E-2</v>
      </c>
      <c r="BF48" s="189"/>
      <c r="BG48" s="189">
        <f>VLOOKUP($B48,'Average RAS salary'!$A$5:$D$62,4,FALSE)</f>
        <v>64777.50736705304</v>
      </c>
      <c r="BH48" s="189" t="e">
        <f t="shared" si="68"/>
        <v>#REF!</v>
      </c>
      <c r="BI48" s="189" t="e">
        <f>$BG$65*#REF!</f>
        <v>#REF!</v>
      </c>
      <c r="BJ48" s="189" t="e">
        <f t="shared" si="69"/>
        <v>#REF!</v>
      </c>
      <c r="BK48" s="189" t="e">
        <f t="shared" si="146"/>
        <v>#REF!</v>
      </c>
      <c r="BL48" s="189" t="e">
        <f t="shared" si="147"/>
        <v>#REF!</v>
      </c>
      <c r="BM48" s="189" t="e">
        <f t="shared" si="70"/>
        <v>#REF!</v>
      </c>
      <c r="BN48" s="213" t="e">
        <f t="shared" si="71"/>
        <v>#REF!</v>
      </c>
      <c r="BO48" s="173" t="e">
        <f t="shared" si="72"/>
        <v>#REF!</v>
      </c>
      <c r="BP48" s="189"/>
      <c r="BQ48" s="189">
        <f>VLOOKUP($B48,'Average RAS salary'!$A$5:$D$62,4,FALSE)</f>
        <v>64777.50736705304</v>
      </c>
      <c r="BR48" s="189" t="e">
        <f t="shared" si="73"/>
        <v>#REF!</v>
      </c>
      <c r="BS48" s="189" t="e">
        <f>VLOOKUP($B48,#REF!,19,FALSE)*$BQ$65</f>
        <v>#REF!</v>
      </c>
      <c r="BT48" s="189" t="e">
        <f t="shared" si="74"/>
        <v>#REF!</v>
      </c>
      <c r="BU48" s="189" t="e">
        <f t="shared" si="75"/>
        <v>#REF!</v>
      </c>
      <c r="BV48" s="189" t="e">
        <f t="shared" si="76"/>
        <v>#REF!</v>
      </c>
      <c r="BW48" s="189" t="e">
        <f t="shared" si="77"/>
        <v>#REF!</v>
      </c>
      <c r="BX48" s="213" t="e">
        <f t="shared" si="78"/>
        <v>#REF!</v>
      </c>
      <c r="BY48" s="173" t="e">
        <f t="shared" si="79"/>
        <v>#REF!</v>
      </c>
      <c r="BZ48" s="189"/>
      <c r="CA48" s="189">
        <f>VLOOKUP($B48,'Average RAS salary'!$A$5:$D$62,4,FALSE)</f>
        <v>64777.50736705304</v>
      </c>
      <c r="CB48" s="189" t="e">
        <f t="shared" si="80"/>
        <v>#REF!</v>
      </c>
      <c r="CC48" s="189" t="e">
        <f>IF(VLOOKUP($B48,#REF!,7,FALSE)&gt;VLOOKUP($B48,#REF!,19,FALSE)*$CA$65,VLOOKUP($B48,#REF!,19,FALSE)*$CA$65,VLOOKUP($B48,#REF!,7,FALSE))</f>
        <v>#REF!</v>
      </c>
      <c r="CD48" s="189" t="e">
        <f t="shared" si="81"/>
        <v>#REF!</v>
      </c>
      <c r="CE48" s="189" t="e">
        <f t="shared" si="82"/>
        <v>#REF!</v>
      </c>
      <c r="CF48" s="189" t="e">
        <f t="shared" si="83"/>
        <v>#REF!</v>
      </c>
      <c r="CG48" s="189" t="e">
        <f t="shared" si="84"/>
        <v>#REF!</v>
      </c>
      <c r="CH48" s="213" t="e">
        <f t="shared" si="85"/>
        <v>#REF!</v>
      </c>
      <c r="CI48" s="173" t="e">
        <f t="shared" si="86"/>
        <v>#REF!</v>
      </c>
      <c r="CJ48" s="189"/>
      <c r="CK48" s="189">
        <f>VLOOKUP($B48,'Average RAS salary'!$A$5:$D$62,4,FALSE)</f>
        <v>64777.50736705304</v>
      </c>
      <c r="CL48" s="189" t="e">
        <f t="shared" si="87"/>
        <v>#REF!</v>
      </c>
      <c r="CM48" s="189" t="e">
        <f>IF($AY48&gt;VLOOKUP($B48,#REF!,19,FALSE)*$CK$65,VLOOKUP($B48,#REF!,19,FALSE)*$CK$65,$AY48)</f>
        <v>#REF!</v>
      </c>
      <c r="CN48" s="189" t="e">
        <f t="shared" si="88"/>
        <v>#REF!</v>
      </c>
      <c r="CO48" s="189" t="e">
        <f t="shared" si="89"/>
        <v>#REF!</v>
      </c>
      <c r="CP48" s="189" t="e">
        <f t="shared" si="90"/>
        <v>#REF!</v>
      </c>
      <c r="CQ48" s="189" t="e">
        <f t="shared" si="91"/>
        <v>#REF!</v>
      </c>
      <c r="CR48" s="213" t="e">
        <f t="shared" si="92"/>
        <v>#REF!</v>
      </c>
      <c r="CS48" s="173" t="e">
        <f t="shared" si="93"/>
        <v>#REF!</v>
      </c>
      <c r="CT48" s="1"/>
      <c r="CU48" s="254">
        <v>0.40219859577538974</v>
      </c>
      <c r="CV48" s="252">
        <v>7269.5875951118196</v>
      </c>
      <c r="CW48" s="254">
        <v>0.4208438817831488</v>
      </c>
      <c r="CX48" s="255">
        <v>7754.9172469635632</v>
      </c>
      <c r="CY48" s="190" t="e">
        <f>VLOOKUP($B48,#REF!,13,FALSE)</f>
        <v>#REF!</v>
      </c>
      <c r="CZ48" s="172" t="e">
        <f>VLOOKUP($B48,#REF!,14,FALSE)</f>
        <v>#REF!</v>
      </c>
      <c r="DA48" s="190" t="e">
        <f>VLOOKUP($B48,#REF!,15,FALSE)</f>
        <v>#REF!</v>
      </c>
      <c r="DB48" s="189" t="e">
        <f>VLOOKUP($B48,#REF!,16,FALSE)</f>
        <v>#REF!</v>
      </c>
      <c r="DC48" s="190" t="e">
        <f t="shared" si="94"/>
        <v>#REF!</v>
      </c>
      <c r="DD48" s="190" t="e">
        <f t="shared" si="95"/>
        <v>#REF!</v>
      </c>
      <c r="DE48" s="190" t="e">
        <f t="shared" si="96"/>
        <v>#REF!</v>
      </c>
      <c r="DF48" s="190" t="e">
        <f t="shared" si="97"/>
        <v>#REF!</v>
      </c>
      <c r="DG48" s="1"/>
      <c r="DH48" s="253" t="s">
        <v>272</v>
      </c>
      <c r="DI48" s="253">
        <v>0</v>
      </c>
      <c r="DJ48" s="173">
        <f t="shared" si="98"/>
        <v>0</v>
      </c>
      <c r="DK48" s="172" t="e">
        <f>IF(VLOOKUP($B48,#REF!,6,FALSE)="Y","Yes","")</f>
        <v>#REF!</v>
      </c>
      <c r="DL48" s="172" t="e">
        <f>VLOOKUP($B48,#REF!,4,FALSE)</f>
        <v>#REF!</v>
      </c>
      <c r="DM48" s="173" t="e">
        <f t="shared" si="148"/>
        <v>#REF!</v>
      </c>
      <c r="DN48" s="1"/>
      <c r="DO48" s="172">
        <f t="shared" si="99"/>
        <v>26429842.864841968</v>
      </c>
      <c r="DP48" s="252">
        <v>25153147.833848208</v>
      </c>
      <c r="DQ48" s="172">
        <f t="shared" si="100"/>
        <v>-1276695.0309937596</v>
      </c>
      <c r="DR48" s="173">
        <f t="shared" si="149"/>
        <v>-4.8305055672202668E-2</v>
      </c>
      <c r="DS48" s="172">
        <f t="shared" si="101"/>
        <v>25153147.833848208</v>
      </c>
      <c r="DT48" s="252">
        <v>25666740.947199717</v>
      </c>
      <c r="DU48" s="172">
        <f t="shared" si="102"/>
        <v>513593.11335150898</v>
      </c>
      <c r="DV48" s="173">
        <f t="shared" si="103"/>
        <v>1.9432318079904705E-2</v>
      </c>
      <c r="DW48" s="172">
        <f t="shared" si="104"/>
        <v>25666740.947199717</v>
      </c>
      <c r="DX48" s="252">
        <v>26102930.264691152</v>
      </c>
      <c r="DY48" s="172">
        <f t="shared" si="105"/>
        <v>436189.31749143451</v>
      </c>
      <c r="DZ48" s="173">
        <f t="shared" si="106"/>
        <v>1.6503666696848621E-2</v>
      </c>
      <c r="EA48" s="172">
        <f t="shared" si="107"/>
        <v>26102930.264691152</v>
      </c>
      <c r="EB48" s="252">
        <v>26293832.866710514</v>
      </c>
      <c r="EC48" s="172">
        <f t="shared" si="108"/>
        <v>190902.60201936215</v>
      </c>
      <c r="ED48" s="173">
        <f t="shared" si="109"/>
        <v>7.2229942113393496E-3</v>
      </c>
      <c r="EE48" s="172">
        <f t="shared" si="110"/>
        <v>26293832.866710514</v>
      </c>
      <c r="EF48" s="252">
        <v>26432451.839732394</v>
      </c>
      <c r="EG48" s="172">
        <f t="shared" si="111"/>
        <v>138618.97302187979</v>
      </c>
      <c r="EH48" s="173">
        <f t="shared" si="112"/>
        <v>5.2447899040018991E-3</v>
      </c>
      <c r="EI48" s="172">
        <f t="shared" si="113"/>
        <v>26432451.839732394</v>
      </c>
      <c r="EJ48" s="252">
        <v>26429842.864841968</v>
      </c>
      <c r="EK48" s="172">
        <f t="shared" si="114"/>
        <v>-2608.9748904258013</v>
      </c>
      <c r="EL48" s="173">
        <f t="shared" si="115"/>
        <v>-9.8713219891911037E-5</v>
      </c>
      <c r="EM48" s="172">
        <f t="shared" si="116"/>
        <v>0</v>
      </c>
      <c r="EN48" s="173">
        <f t="shared" si="150"/>
        <v>0</v>
      </c>
      <c r="EO48" s="214"/>
      <c r="EP48" s="273">
        <v>14886315.821796365</v>
      </c>
      <c r="EQ48" s="273">
        <v>14816845.227283677</v>
      </c>
      <c r="ER48" s="172">
        <f t="shared" si="117"/>
        <v>-69470.594512687996</v>
      </c>
      <c r="ES48" s="173">
        <f t="shared" si="18"/>
        <v>-4.6667419490704328E-3</v>
      </c>
      <c r="ET48" s="273">
        <v>7586563.5874747131</v>
      </c>
      <c r="EU48" s="273">
        <v>7551353.0243189167</v>
      </c>
      <c r="EV48" s="172">
        <f t="shared" si="118"/>
        <v>-35210.563155796379</v>
      </c>
      <c r="EW48" s="173">
        <f t="shared" si="19"/>
        <v>-4.641174195643521E-3</v>
      </c>
      <c r="EX48" s="273">
        <v>4439519.5600000005</v>
      </c>
      <c r="EY48" s="273">
        <v>4418578.4300000006</v>
      </c>
      <c r="EZ48" s="172">
        <f t="shared" si="119"/>
        <v>-20941.129999999888</v>
      </c>
      <c r="FA48" s="173">
        <f t="shared" si="20"/>
        <v>-4.7169811320754464E-3</v>
      </c>
      <c r="FB48" s="172">
        <f t="shared" si="120"/>
        <v>14816845.227283677</v>
      </c>
      <c r="FC48" s="273">
        <v>15113729.847142782</v>
      </c>
      <c r="FD48" s="172">
        <f t="shared" si="121"/>
        <v>296884.61985910498</v>
      </c>
      <c r="FE48" s="173">
        <f t="shared" si="21"/>
        <v>2.0036965717400008E-2</v>
      </c>
      <c r="FF48" s="172">
        <f t="shared" si="122"/>
        <v>7551353.0243189167</v>
      </c>
      <c r="FG48" s="273">
        <v>7671667.8256909177</v>
      </c>
      <c r="FH48" s="172">
        <f t="shared" si="123"/>
        <v>120314.80137200095</v>
      </c>
      <c r="FI48" s="173">
        <f t="shared" si="22"/>
        <v>1.5932879973235337E-2</v>
      </c>
      <c r="FJ48" s="172">
        <f t="shared" si="124"/>
        <v>15113729.847142782</v>
      </c>
      <c r="FK48" s="273">
        <v>15216350.843185205</v>
      </c>
      <c r="FL48" s="172">
        <f t="shared" si="125"/>
        <v>102620.99604242295</v>
      </c>
      <c r="FM48" s="173">
        <f t="shared" si="23"/>
        <v>6.7899186422088406E-3</v>
      </c>
      <c r="FN48" s="172">
        <f t="shared" si="126"/>
        <v>7671667.8256909177</v>
      </c>
      <c r="FO48" s="273">
        <v>7713240.7296047276</v>
      </c>
      <c r="FP48" s="172">
        <f t="shared" si="127"/>
        <v>41572.903913809918</v>
      </c>
      <c r="FQ48" s="173">
        <f t="shared" si="24"/>
        <v>5.4190177231853518E-3</v>
      </c>
      <c r="FR48" s="172">
        <f t="shared" si="128"/>
        <v>7713240.7296047276</v>
      </c>
      <c r="FS48" s="273">
        <v>7696610.1601650324</v>
      </c>
      <c r="FT48" s="172">
        <f t="shared" si="129"/>
        <v>-16630.569439695217</v>
      </c>
      <c r="FU48" s="173">
        <f t="shared" si="25"/>
        <v>-2.1561066253078642E-3</v>
      </c>
      <c r="FV48" s="172">
        <f t="shared" si="26"/>
        <v>4418578.4300000006</v>
      </c>
      <c r="FW48" s="273">
        <v>4801486.46</v>
      </c>
      <c r="FX48" s="172">
        <f t="shared" si="130"/>
        <v>382908.02999999933</v>
      </c>
      <c r="FY48" s="173">
        <f t="shared" si="27"/>
        <v>8.6658647360481345E-2</v>
      </c>
      <c r="FZ48" s="214"/>
      <c r="GA48" s="172">
        <f t="shared" si="151"/>
        <v>14886315.821796365</v>
      </c>
      <c r="GB48" s="172">
        <f t="shared" si="152"/>
        <v>-69470.594512687996</v>
      </c>
      <c r="GC48" s="172">
        <f t="shared" si="153"/>
        <v>296884.61985910498</v>
      </c>
      <c r="GD48" s="172">
        <f t="shared" si="154"/>
        <v>102620.99604242295</v>
      </c>
      <c r="GE48" s="172">
        <f t="shared" si="155"/>
        <v>330035.02138883993</v>
      </c>
      <c r="GF48" s="172">
        <f t="shared" si="156"/>
        <v>15216350.843185205</v>
      </c>
      <c r="GG48" s="173">
        <f t="shared" si="157"/>
        <v>2.2170362723704047E-2</v>
      </c>
      <c r="GH48" s="244"/>
      <c r="GI48" s="172">
        <f t="shared" si="158"/>
        <v>7586563.5874747131</v>
      </c>
      <c r="GJ48" s="172">
        <f t="shared" si="159"/>
        <v>-35210.563155796379</v>
      </c>
      <c r="GK48" s="172">
        <f t="shared" si="160"/>
        <v>120314.80137200095</v>
      </c>
      <c r="GL48" s="172">
        <f t="shared" si="161"/>
        <v>41572.903913809918</v>
      </c>
      <c r="GM48" s="172">
        <f t="shared" si="162"/>
        <v>-16630.569439695217</v>
      </c>
      <c r="GN48" s="172">
        <f t="shared" si="163"/>
        <v>110046.57269031927</v>
      </c>
      <c r="GO48" s="172">
        <f t="shared" si="164"/>
        <v>7696610.1601650324</v>
      </c>
      <c r="GP48" s="173">
        <f t="shared" si="165"/>
        <v>1.4505457104716591E-2</v>
      </c>
      <c r="GQ48" s="214"/>
      <c r="GR48" s="172">
        <f t="shared" si="166"/>
        <v>4439519.5600000005</v>
      </c>
      <c r="GS48" s="172">
        <f t="shared" si="167"/>
        <v>-20941.129999999888</v>
      </c>
      <c r="GT48" s="172">
        <f t="shared" si="168"/>
        <v>382908.02999999933</v>
      </c>
      <c r="GU48" s="172">
        <f t="shared" si="131"/>
        <v>361966.89999999944</v>
      </c>
      <c r="GV48" s="172">
        <f t="shared" si="132"/>
        <v>4801486.46</v>
      </c>
      <c r="GW48" s="173">
        <f t="shared" si="133"/>
        <v>8.1532899023875324E-2</v>
      </c>
      <c r="GX48" s="214"/>
      <c r="GY48" s="273">
        <v>-482556.10442911135</v>
      </c>
      <c r="GZ48" s="172" t="e">
        <f t="shared" si="134"/>
        <v>#REF!</v>
      </c>
      <c r="HA48" s="172" t="e">
        <f>-VLOOKUP($B48,#REF!,23,FALSE)</f>
        <v>#REF!</v>
      </c>
    </row>
    <row r="49" spans="1:209" ht="15" customHeight="1" x14ac:dyDescent="0.45">
      <c r="A49" s="148">
        <v>4</v>
      </c>
      <c r="B49" s="212" t="s">
        <v>61</v>
      </c>
      <c r="C49" s="172">
        <v>74267457.344885796</v>
      </c>
      <c r="D49" s="173">
        <f t="shared" si="0"/>
        <v>5.1557152246814342E-2</v>
      </c>
      <c r="E49" s="1"/>
      <c r="F49" s="252">
        <v>89140315.473937273</v>
      </c>
      <c r="G49" s="173">
        <f t="shared" si="1"/>
        <v>3.7930104122374943E-2</v>
      </c>
      <c r="H49" s="173">
        <f t="shared" si="46"/>
        <v>0.73569044195451272</v>
      </c>
      <c r="I49" s="172" t="e">
        <f>VLOOKUP($B49,#REF!,24,FALSE)</f>
        <v>#REF!</v>
      </c>
      <c r="J49" s="173" t="e">
        <f t="shared" si="136"/>
        <v>#REF!</v>
      </c>
      <c r="K49" s="173" t="e">
        <f t="shared" si="47"/>
        <v>#REF!</v>
      </c>
      <c r="L49" s="172" t="e">
        <f t="shared" si="48"/>
        <v>#REF!</v>
      </c>
      <c r="M49" s="173" t="e">
        <f t="shared" si="137"/>
        <v>#REF!</v>
      </c>
      <c r="N49" s="173" t="e">
        <f t="shared" si="50"/>
        <v>#REF!</v>
      </c>
      <c r="O49" s="176"/>
      <c r="P49" s="253">
        <v>576</v>
      </c>
      <c r="Q49" s="173">
        <f t="shared" si="138"/>
        <v>3.203915897207698E-2</v>
      </c>
      <c r="R49" s="172" t="e">
        <f>VLOOKUP($B49,#REF!,4,FALSE)</f>
        <v>#REF!</v>
      </c>
      <c r="S49" s="173" t="e">
        <f t="shared" si="139"/>
        <v>#REF!</v>
      </c>
      <c r="T49" s="172" t="e">
        <f t="shared" si="51"/>
        <v>#REF!</v>
      </c>
      <c r="U49" s="173" t="e">
        <f t="shared" si="52"/>
        <v>#REF!</v>
      </c>
      <c r="V49" s="173" t="e">
        <f t="shared" si="53"/>
        <v>#REF!</v>
      </c>
      <c r="W49" s="1"/>
      <c r="X49" s="189">
        <f>VLOOKUP($B49,'Average RAS salary'!$A$5:$D$62,4,FALSE)</f>
        <v>80076.650743665916</v>
      </c>
      <c r="Y49" s="253">
        <v>83821.618159820428</v>
      </c>
      <c r="Z49" s="252" t="s">
        <v>272</v>
      </c>
      <c r="AA49" s="252" t="s">
        <v>272</v>
      </c>
      <c r="AB49" s="173">
        <f t="shared" si="5"/>
        <v>1.436879186284733</v>
      </c>
      <c r="AC49" s="172" t="e">
        <f>VLOOKUP($B49,#REF!,3,FALSE)</f>
        <v>#REF!</v>
      </c>
      <c r="AD49" s="172" t="e">
        <f>VLOOKUP($B49,#REF!,5,FALSE)</f>
        <v>#REF!</v>
      </c>
      <c r="AE49" s="172" t="e">
        <f>VLOOKUP($B49,#REF!,6,FALSE)</f>
        <v>#REF!</v>
      </c>
      <c r="AF49" s="173" t="e">
        <f t="shared" si="6"/>
        <v>#REF!</v>
      </c>
      <c r="AG49" s="172" t="e">
        <f t="shared" si="140"/>
        <v>#REF!</v>
      </c>
      <c r="AH49" s="173" t="e">
        <f t="shared" si="141"/>
        <v>#REF!</v>
      </c>
      <c r="AI49" s="173" t="e">
        <f t="shared" si="142"/>
        <v>#REF!</v>
      </c>
      <c r="AJ49" s="189">
        <v>72128.037198288454</v>
      </c>
      <c r="AK49" s="189">
        <f>VLOOKUP($B49,'Average RAS salary'!$A$5:$D$62,4,FALSE)</f>
        <v>80076.650743665916</v>
      </c>
      <c r="AL49" s="189">
        <f t="shared" si="55"/>
        <v>7948.6135453774623</v>
      </c>
      <c r="AM49" s="173">
        <f t="shared" si="56"/>
        <v>0.11020143974701252</v>
      </c>
      <c r="AN49" s="189" t="e">
        <f t="shared" si="57"/>
        <v>#REF!</v>
      </c>
      <c r="AO49" s="189" t="e">
        <f t="shared" si="58"/>
        <v>#REF!</v>
      </c>
      <c r="AP49" s="189" t="e">
        <f t="shared" si="59"/>
        <v>#REF!</v>
      </c>
      <c r="AQ49" s="189" t="e">
        <f t="shared" si="135"/>
        <v>#REF!</v>
      </c>
      <c r="AR49" s="189" t="e">
        <f t="shared" si="60"/>
        <v>#REF!</v>
      </c>
      <c r="AS49" s="189" t="e">
        <f t="shared" si="143"/>
        <v>#REF!</v>
      </c>
      <c r="AT49" s="213" t="e">
        <f t="shared" si="61"/>
        <v>#REF!</v>
      </c>
      <c r="AU49" s="173" t="e">
        <f t="shared" si="62"/>
        <v>#REF!</v>
      </c>
      <c r="AV49" s="189"/>
      <c r="AW49" s="189">
        <f>VLOOKUP($B49,'Average RAS salary'!$A$5:$D$62,4,FALSE)</f>
        <v>80076.650743665916</v>
      </c>
      <c r="AX49" s="189" t="e">
        <f t="shared" si="144"/>
        <v>#REF!</v>
      </c>
      <c r="AY49" s="189">
        <v>74440.723386779224</v>
      </c>
      <c r="AZ49" s="189" t="e">
        <f t="shared" si="145"/>
        <v>#REF!</v>
      </c>
      <c r="BA49" s="189" t="e">
        <f t="shared" si="63"/>
        <v>#REF!</v>
      </c>
      <c r="BB49" s="189" t="e">
        <f t="shared" si="64"/>
        <v>#REF!</v>
      </c>
      <c r="BC49" s="189" t="e">
        <f t="shared" si="65"/>
        <v>#REF!</v>
      </c>
      <c r="BD49" s="213">
        <f t="shared" si="66"/>
        <v>-5635.927356886692</v>
      </c>
      <c r="BE49" s="173">
        <f t="shared" si="169"/>
        <v>-7.038165688182825E-2</v>
      </c>
      <c r="BF49" s="189"/>
      <c r="BG49" s="189">
        <f>VLOOKUP($B49,'Average RAS salary'!$A$5:$D$62,4,FALSE)</f>
        <v>80076.650743665916</v>
      </c>
      <c r="BH49" s="189" t="e">
        <f t="shared" si="68"/>
        <v>#REF!</v>
      </c>
      <c r="BI49" s="189" t="e">
        <f>$BG$65*#REF!</f>
        <v>#REF!</v>
      </c>
      <c r="BJ49" s="189" t="e">
        <f t="shared" si="69"/>
        <v>#REF!</v>
      </c>
      <c r="BK49" s="189" t="e">
        <f t="shared" si="146"/>
        <v>#REF!</v>
      </c>
      <c r="BL49" s="189" t="e">
        <f t="shared" si="147"/>
        <v>#REF!</v>
      </c>
      <c r="BM49" s="189" t="e">
        <f t="shared" si="70"/>
        <v>#REF!</v>
      </c>
      <c r="BN49" s="213" t="e">
        <f t="shared" si="71"/>
        <v>#REF!</v>
      </c>
      <c r="BO49" s="173" t="e">
        <f t="shared" si="72"/>
        <v>#REF!</v>
      </c>
      <c r="BP49" s="189"/>
      <c r="BQ49" s="189">
        <f>VLOOKUP($B49,'Average RAS salary'!$A$5:$D$62,4,FALSE)</f>
        <v>80076.650743665916</v>
      </c>
      <c r="BR49" s="189" t="e">
        <f t="shared" si="73"/>
        <v>#REF!</v>
      </c>
      <c r="BS49" s="189" t="e">
        <f>VLOOKUP($B49,#REF!,19,FALSE)*$BQ$65</f>
        <v>#REF!</v>
      </c>
      <c r="BT49" s="189" t="e">
        <f t="shared" si="74"/>
        <v>#REF!</v>
      </c>
      <c r="BU49" s="189" t="e">
        <f t="shared" si="75"/>
        <v>#REF!</v>
      </c>
      <c r="BV49" s="189" t="e">
        <f t="shared" si="76"/>
        <v>#REF!</v>
      </c>
      <c r="BW49" s="189" t="e">
        <f t="shared" si="77"/>
        <v>#REF!</v>
      </c>
      <c r="BX49" s="213" t="e">
        <f t="shared" si="78"/>
        <v>#REF!</v>
      </c>
      <c r="BY49" s="173" t="e">
        <f t="shared" si="79"/>
        <v>#REF!</v>
      </c>
      <c r="BZ49" s="189"/>
      <c r="CA49" s="189">
        <f>VLOOKUP($B49,'Average RAS salary'!$A$5:$D$62,4,FALSE)</f>
        <v>80076.650743665916</v>
      </c>
      <c r="CB49" s="189" t="e">
        <f t="shared" si="80"/>
        <v>#REF!</v>
      </c>
      <c r="CC49" s="189" t="e">
        <f>IF(VLOOKUP($B49,#REF!,7,FALSE)&gt;VLOOKUP($B49,#REF!,19,FALSE)*$CA$65,VLOOKUP($B49,#REF!,19,FALSE)*$CA$65,VLOOKUP($B49,#REF!,7,FALSE))</f>
        <v>#REF!</v>
      </c>
      <c r="CD49" s="189" t="e">
        <f t="shared" si="81"/>
        <v>#REF!</v>
      </c>
      <c r="CE49" s="189" t="e">
        <f t="shared" si="82"/>
        <v>#REF!</v>
      </c>
      <c r="CF49" s="189" t="e">
        <f t="shared" si="83"/>
        <v>#REF!</v>
      </c>
      <c r="CG49" s="189" t="e">
        <f t="shared" si="84"/>
        <v>#REF!</v>
      </c>
      <c r="CH49" s="213" t="e">
        <f t="shared" si="85"/>
        <v>#REF!</v>
      </c>
      <c r="CI49" s="173" t="e">
        <f t="shared" si="86"/>
        <v>#REF!</v>
      </c>
      <c r="CJ49" s="189"/>
      <c r="CK49" s="189">
        <f>VLOOKUP($B49,'Average RAS salary'!$A$5:$D$62,4,FALSE)</f>
        <v>80076.650743665916</v>
      </c>
      <c r="CL49" s="189" t="e">
        <f t="shared" si="87"/>
        <v>#REF!</v>
      </c>
      <c r="CM49" s="189" t="e">
        <f>IF($AY49&gt;VLOOKUP($B49,#REF!,19,FALSE)*$CK$65,VLOOKUP($B49,#REF!,19,FALSE)*$CK$65,$AY49)</f>
        <v>#REF!</v>
      </c>
      <c r="CN49" s="189" t="e">
        <f t="shared" si="88"/>
        <v>#REF!</v>
      </c>
      <c r="CO49" s="189" t="e">
        <f t="shared" si="89"/>
        <v>#REF!</v>
      </c>
      <c r="CP49" s="189" t="e">
        <f t="shared" si="90"/>
        <v>#REF!</v>
      </c>
      <c r="CQ49" s="189" t="e">
        <f t="shared" si="91"/>
        <v>#REF!</v>
      </c>
      <c r="CR49" s="213" t="e">
        <f t="shared" si="92"/>
        <v>#REF!</v>
      </c>
      <c r="CS49" s="173" t="e">
        <f t="shared" si="93"/>
        <v>#REF!</v>
      </c>
      <c r="CT49" s="1"/>
      <c r="CU49" s="254">
        <v>0.3197898052510974</v>
      </c>
      <c r="CV49" s="252">
        <v>26097.647233857173</v>
      </c>
      <c r="CW49" s="254">
        <v>0.3146809156726349</v>
      </c>
      <c r="CX49" s="255">
        <v>27571.54826666669</v>
      </c>
      <c r="CY49" s="190" t="e">
        <f>VLOOKUP($B49,#REF!,13,FALSE)</f>
        <v>#REF!</v>
      </c>
      <c r="CZ49" s="172" t="e">
        <f>VLOOKUP($B49,#REF!,14,FALSE)</f>
        <v>#REF!</v>
      </c>
      <c r="DA49" s="190" t="e">
        <f>VLOOKUP($B49,#REF!,15,FALSE)</f>
        <v>#REF!</v>
      </c>
      <c r="DB49" s="189" t="e">
        <f>VLOOKUP($B49,#REF!,16,FALSE)</f>
        <v>#REF!</v>
      </c>
      <c r="DC49" s="190" t="e">
        <f t="shared" si="94"/>
        <v>#REF!</v>
      </c>
      <c r="DD49" s="190" t="e">
        <f t="shared" si="95"/>
        <v>#REF!</v>
      </c>
      <c r="DE49" s="190" t="e">
        <f t="shared" si="96"/>
        <v>#REF!</v>
      </c>
      <c r="DF49" s="190" t="e">
        <f t="shared" si="97"/>
        <v>#REF!</v>
      </c>
      <c r="DG49" s="1"/>
      <c r="DH49" s="253" t="s">
        <v>272</v>
      </c>
      <c r="DI49" s="253">
        <v>0</v>
      </c>
      <c r="DJ49" s="173">
        <f t="shared" si="98"/>
        <v>0</v>
      </c>
      <c r="DK49" s="172" t="e">
        <f>IF(VLOOKUP($B49,#REF!,6,FALSE)="Y","Yes","")</f>
        <v>#REF!</v>
      </c>
      <c r="DL49" s="172" t="e">
        <f>VLOOKUP($B49,#REF!,4,FALSE)</f>
        <v>#REF!</v>
      </c>
      <c r="DM49" s="173" t="e">
        <f t="shared" si="148"/>
        <v>#REF!</v>
      </c>
      <c r="DN49" s="1"/>
      <c r="DO49" s="172">
        <f t="shared" si="99"/>
        <v>89140315.473937273</v>
      </c>
      <c r="DP49" s="252">
        <v>85718171.723609596</v>
      </c>
      <c r="DQ49" s="172">
        <f t="shared" si="100"/>
        <v>-3422143.7503276765</v>
      </c>
      <c r="DR49" s="173">
        <f t="shared" si="149"/>
        <v>-3.8390527699312872E-2</v>
      </c>
      <c r="DS49" s="172">
        <f t="shared" si="101"/>
        <v>85718171.723609596</v>
      </c>
      <c r="DT49" s="252">
        <v>87307874.053869635</v>
      </c>
      <c r="DU49" s="172">
        <f t="shared" si="102"/>
        <v>1589702.3302600384</v>
      </c>
      <c r="DV49" s="173">
        <f t="shared" si="103"/>
        <v>1.7833707697891572E-2</v>
      </c>
      <c r="DW49" s="172">
        <f t="shared" si="104"/>
        <v>87307874.053869635</v>
      </c>
      <c r="DX49" s="252">
        <v>87149394.94110778</v>
      </c>
      <c r="DY49" s="172">
        <f t="shared" si="105"/>
        <v>-158479.11276185513</v>
      </c>
      <c r="DZ49" s="173">
        <f t="shared" si="106"/>
        <v>-1.7778612507624682E-3</v>
      </c>
      <c r="EA49" s="172">
        <f t="shared" si="107"/>
        <v>87149394.94110778</v>
      </c>
      <c r="EB49" s="252">
        <v>88910321.390711814</v>
      </c>
      <c r="EC49" s="172">
        <f t="shared" si="108"/>
        <v>1760926.4496040344</v>
      </c>
      <c r="ED49" s="173">
        <f t="shared" si="109"/>
        <v>1.9754545855504537E-2</v>
      </c>
      <c r="EE49" s="172">
        <f t="shared" si="110"/>
        <v>88910321.390711814</v>
      </c>
      <c r="EF49" s="252">
        <v>89286946.524959922</v>
      </c>
      <c r="EG49" s="172">
        <f t="shared" si="111"/>
        <v>376625.13424810767</v>
      </c>
      <c r="EH49" s="173">
        <f t="shared" si="112"/>
        <v>4.2250819087377451E-3</v>
      </c>
      <c r="EI49" s="172">
        <f t="shared" si="113"/>
        <v>89286946.524959922</v>
      </c>
      <c r="EJ49" s="252">
        <v>89140315.473937273</v>
      </c>
      <c r="EK49" s="172">
        <f t="shared" si="114"/>
        <v>-146631.05102264881</v>
      </c>
      <c r="EL49" s="173">
        <f t="shared" si="115"/>
        <v>-1.6449465120585152E-3</v>
      </c>
      <c r="EM49" s="172">
        <f t="shared" si="116"/>
        <v>0</v>
      </c>
      <c r="EN49" s="173">
        <f t="shared" si="150"/>
        <v>0</v>
      </c>
      <c r="EO49" s="214"/>
      <c r="EP49" s="273">
        <v>48518417.757079266</v>
      </c>
      <c r="EQ49" s="273">
        <v>47428736.721001603</v>
      </c>
      <c r="ER49" s="172">
        <f t="shared" si="117"/>
        <v>-1089681.0360776633</v>
      </c>
      <c r="ES49" s="173">
        <f t="shared" si="18"/>
        <v>-2.2459121431647865E-2</v>
      </c>
      <c r="ET49" s="273">
        <v>30625153.442072332</v>
      </c>
      <c r="EU49" s="273">
        <v>29935323.810436409</v>
      </c>
      <c r="EV49" s="172">
        <f t="shared" si="118"/>
        <v>-689829.63163592294</v>
      </c>
      <c r="EW49" s="173">
        <f t="shared" si="19"/>
        <v>-2.2524936338384066E-2</v>
      </c>
      <c r="EX49" s="273">
        <v>12062090.880000001</v>
      </c>
      <c r="EY49" s="273">
        <v>11789856.190000001</v>
      </c>
      <c r="EZ49" s="172">
        <f t="shared" si="119"/>
        <v>-272234.68999999948</v>
      </c>
      <c r="FA49" s="173">
        <f t="shared" si="20"/>
        <v>-2.2569444444444399E-2</v>
      </c>
      <c r="FB49" s="172">
        <f t="shared" si="120"/>
        <v>47428736.721001603</v>
      </c>
      <c r="FC49" s="273">
        <v>48374228.307489574</v>
      </c>
      <c r="FD49" s="172">
        <f t="shared" si="121"/>
        <v>945491.58648797125</v>
      </c>
      <c r="FE49" s="173">
        <f t="shared" si="21"/>
        <v>1.9934994095453198E-2</v>
      </c>
      <c r="FF49" s="172">
        <f t="shared" si="122"/>
        <v>29935323.810436409</v>
      </c>
      <c r="FG49" s="273">
        <v>30237016.453893334</v>
      </c>
      <c r="FH49" s="172">
        <f t="shared" si="123"/>
        <v>301692.64345692471</v>
      </c>
      <c r="FI49" s="173">
        <f t="shared" si="22"/>
        <v>1.0078148656997157E-2</v>
      </c>
      <c r="FJ49" s="172">
        <f t="shared" si="124"/>
        <v>48374228.307489574</v>
      </c>
      <c r="FK49" s="273">
        <v>48381496.134511806</v>
      </c>
      <c r="FL49" s="172">
        <f t="shared" si="125"/>
        <v>7267.8270222321153</v>
      </c>
      <c r="FM49" s="173">
        <f t="shared" si="23"/>
        <v>1.5024171498993956E-4</v>
      </c>
      <c r="FN49" s="172">
        <f t="shared" si="126"/>
        <v>30237016.453893334</v>
      </c>
      <c r="FO49" s="273">
        <v>30239335.652056672</v>
      </c>
      <c r="FP49" s="172">
        <f t="shared" si="127"/>
        <v>2319.1981633380055</v>
      </c>
      <c r="FQ49" s="173">
        <f t="shared" si="24"/>
        <v>7.6700628412674769E-5</v>
      </c>
      <c r="FR49" s="172">
        <f t="shared" si="128"/>
        <v>30239335.652056672</v>
      </c>
      <c r="FS49" s="273">
        <v>29616719.639547959</v>
      </c>
      <c r="FT49" s="172">
        <f t="shared" si="129"/>
        <v>-622616.01250871271</v>
      </c>
      <c r="FU49" s="173">
        <f t="shared" si="25"/>
        <v>-2.0589606189525086E-2</v>
      </c>
      <c r="FV49" s="172">
        <f t="shared" si="26"/>
        <v>11789856.190000001</v>
      </c>
      <c r="FW49" s="273">
        <v>12811549.18</v>
      </c>
      <c r="FX49" s="172">
        <f t="shared" si="130"/>
        <v>1021692.9899999984</v>
      </c>
      <c r="FY49" s="173">
        <f t="shared" si="27"/>
        <v>8.6658647360481358E-2</v>
      </c>
      <c r="FZ49" s="214"/>
      <c r="GA49" s="172">
        <f t="shared" si="151"/>
        <v>48518417.757079266</v>
      </c>
      <c r="GB49" s="172">
        <f t="shared" si="152"/>
        <v>-1089681.0360776633</v>
      </c>
      <c r="GC49" s="172">
        <f t="shared" si="153"/>
        <v>945491.58648797125</v>
      </c>
      <c r="GD49" s="172">
        <f t="shared" si="154"/>
        <v>7267.8270222321153</v>
      </c>
      <c r="GE49" s="172">
        <f t="shared" si="155"/>
        <v>-136921.62256745994</v>
      </c>
      <c r="GF49" s="172">
        <f t="shared" si="156"/>
        <v>48381496.134511806</v>
      </c>
      <c r="GG49" s="173">
        <f t="shared" si="157"/>
        <v>-2.8220545701427343E-3</v>
      </c>
      <c r="GH49" s="244"/>
      <c r="GI49" s="172">
        <f t="shared" si="158"/>
        <v>30625153.442072332</v>
      </c>
      <c r="GJ49" s="172">
        <f t="shared" si="159"/>
        <v>-689829.63163592294</v>
      </c>
      <c r="GK49" s="172">
        <f t="shared" si="160"/>
        <v>301692.64345692471</v>
      </c>
      <c r="GL49" s="172">
        <f t="shared" si="161"/>
        <v>2319.1981633380055</v>
      </c>
      <c r="GM49" s="172">
        <f t="shared" si="162"/>
        <v>-622616.01250871271</v>
      </c>
      <c r="GN49" s="172">
        <f t="shared" si="163"/>
        <v>-1008433.8025243729</v>
      </c>
      <c r="GO49" s="172">
        <f t="shared" si="164"/>
        <v>29616719.639547959</v>
      </c>
      <c r="GP49" s="173">
        <f t="shared" si="165"/>
        <v>-3.2928285712325714E-2</v>
      </c>
      <c r="GQ49" s="214"/>
      <c r="GR49" s="172">
        <f t="shared" si="166"/>
        <v>12062090.880000001</v>
      </c>
      <c r="GS49" s="172">
        <f t="shared" si="167"/>
        <v>-272234.68999999948</v>
      </c>
      <c r="GT49" s="172">
        <f t="shared" si="168"/>
        <v>1021692.9899999984</v>
      </c>
      <c r="GU49" s="172">
        <f t="shared" si="131"/>
        <v>749458.29999999888</v>
      </c>
      <c r="GV49" s="172">
        <f t="shared" si="132"/>
        <v>12811549.18</v>
      </c>
      <c r="GW49" s="173">
        <f t="shared" si="133"/>
        <v>6.2133365388803874E-2</v>
      </c>
      <c r="GX49" s="214"/>
      <c r="GY49" s="273">
        <v>-2065346.6052143215</v>
      </c>
      <c r="GZ49" s="172" t="e">
        <f t="shared" si="134"/>
        <v>#REF!</v>
      </c>
      <c r="HA49" s="172" t="e">
        <f>-VLOOKUP($B49,#REF!,23,FALSE)</f>
        <v>#REF!</v>
      </c>
    </row>
    <row r="50" spans="1:209" ht="15" customHeight="1" x14ac:dyDescent="0.45">
      <c r="A50" s="148">
        <v>2</v>
      </c>
      <c r="B50" s="215" t="s">
        <v>33</v>
      </c>
      <c r="C50" s="172">
        <v>9910385.7397711948</v>
      </c>
      <c r="D50" s="173">
        <f t="shared" si="0"/>
        <v>6.8798809690934753E-3</v>
      </c>
      <c r="E50" s="1"/>
      <c r="F50" s="252">
        <v>15460851.402267259</v>
      </c>
      <c r="G50" s="173">
        <f t="shared" si="1"/>
        <v>6.5787483518613297E-3</v>
      </c>
      <c r="H50" s="173">
        <f t="shared" si="46"/>
        <v>0.95622996697400364</v>
      </c>
      <c r="I50" s="172" t="e">
        <f>VLOOKUP($B50,#REF!,24,FALSE)</f>
        <v>#REF!</v>
      </c>
      <c r="J50" s="173" t="e">
        <f t="shared" si="136"/>
        <v>#REF!</v>
      </c>
      <c r="K50" s="173" t="e">
        <f t="shared" si="47"/>
        <v>#REF!</v>
      </c>
      <c r="L50" s="172" t="e">
        <f t="shared" si="48"/>
        <v>#REF!</v>
      </c>
      <c r="M50" s="173" t="e">
        <f t="shared" si="137"/>
        <v>#REF!</v>
      </c>
      <c r="N50" s="173" t="e">
        <f t="shared" si="50"/>
        <v>#REF!</v>
      </c>
      <c r="O50" s="176"/>
      <c r="P50" s="253">
        <v>129</v>
      </c>
      <c r="Q50" s="173">
        <f t="shared" si="138"/>
        <v>7.1754366447880739E-3</v>
      </c>
      <c r="R50" s="172" t="e">
        <f>VLOOKUP($B50,#REF!,4,FALSE)</f>
        <v>#REF!</v>
      </c>
      <c r="S50" s="173" t="e">
        <f t="shared" si="139"/>
        <v>#REF!</v>
      </c>
      <c r="T50" s="172" t="e">
        <f t="shared" si="51"/>
        <v>#REF!</v>
      </c>
      <c r="U50" s="173" t="e">
        <f t="shared" si="52"/>
        <v>#REF!</v>
      </c>
      <c r="V50" s="173" t="e">
        <f t="shared" si="53"/>
        <v>#REF!</v>
      </c>
      <c r="W50" s="1"/>
      <c r="X50" s="189">
        <f>VLOOKUP($B50,'Average RAS salary'!$A$5:$D$62,4,FALSE)</f>
        <v>65396.960009990042</v>
      </c>
      <c r="Y50" s="253">
        <v>66611.997411038566</v>
      </c>
      <c r="Z50" s="252" t="s">
        <v>272</v>
      </c>
      <c r="AA50" s="252" t="s">
        <v>272</v>
      </c>
      <c r="AB50" s="173">
        <f t="shared" si="5"/>
        <v>1.1418700179979784</v>
      </c>
      <c r="AC50" s="172" t="e">
        <f>VLOOKUP($B50,#REF!,3,FALSE)</f>
        <v>#REF!</v>
      </c>
      <c r="AD50" s="172" t="e">
        <f>VLOOKUP($B50,#REF!,5,FALSE)</f>
        <v>#REF!</v>
      </c>
      <c r="AE50" s="172" t="e">
        <f>VLOOKUP($B50,#REF!,6,FALSE)</f>
        <v>#REF!</v>
      </c>
      <c r="AF50" s="173" t="e">
        <f t="shared" si="6"/>
        <v>#REF!</v>
      </c>
      <c r="AG50" s="172" t="e">
        <f t="shared" si="140"/>
        <v>#REF!</v>
      </c>
      <c r="AH50" s="173" t="e">
        <f t="shared" si="141"/>
        <v>#REF!</v>
      </c>
      <c r="AI50" s="173" t="e">
        <f t="shared" si="142"/>
        <v>#REF!</v>
      </c>
      <c r="AJ50" s="189">
        <v>63852.71676530609</v>
      </c>
      <c r="AK50" s="189">
        <f>VLOOKUP($B50,'Average RAS salary'!$A$5:$D$62,4,FALSE)</f>
        <v>65396.960009990042</v>
      </c>
      <c r="AL50" s="189">
        <f t="shared" si="55"/>
        <v>1544.2432446839521</v>
      </c>
      <c r="AM50" s="173">
        <f t="shared" si="56"/>
        <v>2.4184456400812147E-2</v>
      </c>
      <c r="AN50" s="189" t="e">
        <f t="shared" si="57"/>
        <v>#REF!</v>
      </c>
      <c r="AO50" s="189" t="e">
        <f t="shared" si="58"/>
        <v>#REF!</v>
      </c>
      <c r="AP50" s="189" t="e">
        <f t="shared" si="59"/>
        <v>#REF!</v>
      </c>
      <c r="AQ50" s="189" t="e">
        <f t="shared" si="135"/>
        <v>#REF!</v>
      </c>
      <c r="AR50" s="189" t="e">
        <f t="shared" si="60"/>
        <v>#REF!</v>
      </c>
      <c r="AS50" s="189" t="e">
        <f t="shared" si="143"/>
        <v>#REF!</v>
      </c>
      <c r="AT50" s="213" t="e">
        <f t="shared" si="61"/>
        <v>#REF!</v>
      </c>
      <c r="AU50" s="173" t="e">
        <f t="shared" si="62"/>
        <v>#REF!</v>
      </c>
      <c r="AV50" s="189"/>
      <c r="AW50" s="189">
        <f>VLOOKUP($B50,'Average RAS salary'!$A$5:$D$62,4,FALSE)</f>
        <v>65396.960009990042</v>
      </c>
      <c r="AX50" s="189" t="e">
        <f t="shared" si="144"/>
        <v>#REF!</v>
      </c>
      <c r="AY50" s="189">
        <v>59596.662155867794</v>
      </c>
      <c r="AZ50" s="189" t="e">
        <f t="shared" si="145"/>
        <v>#REF!</v>
      </c>
      <c r="BA50" s="189" t="e">
        <f t="shared" si="63"/>
        <v>#REF!</v>
      </c>
      <c r="BB50" s="189" t="e">
        <f t="shared" si="64"/>
        <v>#REF!</v>
      </c>
      <c r="BC50" s="189" t="e">
        <f t="shared" si="65"/>
        <v>#REF!</v>
      </c>
      <c r="BD50" s="213">
        <f t="shared" si="66"/>
        <v>-5800.2978541222474</v>
      </c>
      <c r="BE50" s="173">
        <f t="shared" si="169"/>
        <v>-8.8693692386254561E-2</v>
      </c>
      <c r="BF50" s="189"/>
      <c r="BG50" s="189">
        <f>VLOOKUP($B50,'Average RAS salary'!$A$5:$D$62,4,FALSE)</f>
        <v>65396.960009990042</v>
      </c>
      <c r="BH50" s="189" t="e">
        <f t="shared" si="68"/>
        <v>#REF!</v>
      </c>
      <c r="BI50" s="189" t="e">
        <f>$BG$65*#REF!</f>
        <v>#REF!</v>
      </c>
      <c r="BJ50" s="189" t="e">
        <f t="shared" si="69"/>
        <v>#REF!</v>
      </c>
      <c r="BK50" s="189" t="e">
        <f t="shared" si="146"/>
        <v>#REF!</v>
      </c>
      <c r="BL50" s="189" t="e">
        <f t="shared" si="147"/>
        <v>#REF!</v>
      </c>
      <c r="BM50" s="189" t="e">
        <f t="shared" si="70"/>
        <v>#REF!</v>
      </c>
      <c r="BN50" s="213" t="e">
        <f t="shared" si="71"/>
        <v>#REF!</v>
      </c>
      <c r="BO50" s="173" t="e">
        <f t="shared" si="72"/>
        <v>#REF!</v>
      </c>
      <c r="BP50" s="189"/>
      <c r="BQ50" s="189">
        <f>VLOOKUP($B50,'Average RAS salary'!$A$5:$D$62,4,FALSE)</f>
        <v>65396.960009990042</v>
      </c>
      <c r="BR50" s="189" t="e">
        <f t="shared" si="73"/>
        <v>#REF!</v>
      </c>
      <c r="BS50" s="189" t="e">
        <f>VLOOKUP($B50,#REF!,19,FALSE)*$BQ$65</f>
        <v>#REF!</v>
      </c>
      <c r="BT50" s="189" t="e">
        <f t="shared" si="74"/>
        <v>#REF!</v>
      </c>
      <c r="BU50" s="189" t="e">
        <f t="shared" si="75"/>
        <v>#REF!</v>
      </c>
      <c r="BV50" s="189" t="e">
        <f t="shared" si="76"/>
        <v>#REF!</v>
      </c>
      <c r="BW50" s="189" t="e">
        <f t="shared" si="77"/>
        <v>#REF!</v>
      </c>
      <c r="BX50" s="213" t="e">
        <f t="shared" si="78"/>
        <v>#REF!</v>
      </c>
      <c r="BY50" s="173" t="e">
        <f t="shared" si="79"/>
        <v>#REF!</v>
      </c>
      <c r="BZ50" s="189"/>
      <c r="CA50" s="189">
        <f>VLOOKUP($B50,'Average RAS salary'!$A$5:$D$62,4,FALSE)</f>
        <v>65396.960009990042</v>
      </c>
      <c r="CB50" s="189" t="e">
        <f t="shared" si="80"/>
        <v>#REF!</v>
      </c>
      <c r="CC50" s="189" t="e">
        <f>IF(VLOOKUP($B50,#REF!,7,FALSE)&gt;VLOOKUP($B50,#REF!,19,FALSE)*$CA$65,VLOOKUP($B50,#REF!,19,FALSE)*$CA$65,VLOOKUP($B50,#REF!,7,FALSE))</f>
        <v>#REF!</v>
      </c>
      <c r="CD50" s="189" t="e">
        <f t="shared" si="81"/>
        <v>#REF!</v>
      </c>
      <c r="CE50" s="189" t="e">
        <f t="shared" si="82"/>
        <v>#REF!</v>
      </c>
      <c r="CF50" s="189" t="e">
        <f t="shared" si="83"/>
        <v>#REF!</v>
      </c>
      <c r="CG50" s="189" t="e">
        <f t="shared" si="84"/>
        <v>#REF!</v>
      </c>
      <c r="CH50" s="213" t="e">
        <f t="shared" si="85"/>
        <v>#REF!</v>
      </c>
      <c r="CI50" s="173" t="e">
        <f t="shared" si="86"/>
        <v>#REF!</v>
      </c>
      <c r="CJ50" s="189"/>
      <c r="CK50" s="189">
        <f>VLOOKUP($B50,'Average RAS salary'!$A$5:$D$62,4,FALSE)</f>
        <v>65396.960009990042</v>
      </c>
      <c r="CL50" s="189" t="e">
        <f t="shared" si="87"/>
        <v>#REF!</v>
      </c>
      <c r="CM50" s="189" t="e">
        <f>IF($AY50&gt;VLOOKUP($B50,#REF!,19,FALSE)*$CK$65,VLOOKUP($B50,#REF!,19,FALSE)*$CK$65,$AY50)</f>
        <v>#REF!</v>
      </c>
      <c r="CN50" s="189" t="e">
        <f t="shared" si="88"/>
        <v>#REF!</v>
      </c>
      <c r="CO50" s="189" t="e">
        <f t="shared" si="89"/>
        <v>#REF!</v>
      </c>
      <c r="CP50" s="189" t="e">
        <f t="shared" si="90"/>
        <v>#REF!</v>
      </c>
      <c r="CQ50" s="189" t="e">
        <f t="shared" si="91"/>
        <v>#REF!</v>
      </c>
      <c r="CR50" s="213" t="e">
        <f t="shared" si="92"/>
        <v>#REF!</v>
      </c>
      <c r="CS50" s="173" t="e">
        <f t="shared" si="93"/>
        <v>#REF!</v>
      </c>
      <c r="CT50" s="1"/>
      <c r="CU50" s="254">
        <v>0.24691114232189273</v>
      </c>
      <c r="CV50" s="252">
        <v>16072.860967430626</v>
      </c>
      <c r="CW50" s="254">
        <v>0.2465138727251609</v>
      </c>
      <c r="CX50" s="255">
        <v>16880.147802259893</v>
      </c>
      <c r="CY50" s="190" t="e">
        <f>VLOOKUP($B50,#REF!,13,FALSE)</f>
        <v>#REF!</v>
      </c>
      <c r="CZ50" s="172" t="e">
        <f>VLOOKUP($B50,#REF!,14,FALSE)</f>
        <v>#REF!</v>
      </c>
      <c r="DA50" s="190" t="e">
        <f>VLOOKUP($B50,#REF!,15,FALSE)</f>
        <v>#REF!</v>
      </c>
      <c r="DB50" s="189" t="e">
        <f>VLOOKUP($B50,#REF!,16,FALSE)</f>
        <v>#REF!</v>
      </c>
      <c r="DC50" s="190" t="e">
        <f t="shared" si="94"/>
        <v>#REF!</v>
      </c>
      <c r="DD50" s="190" t="e">
        <f t="shared" si="95"/>
        <v>#REF!</v>
      </c>
      <c r="DE50" s="190" t="e">
        <f t="shared" si="96"/>
        <v>#REF!</v>
      </c>
      <c r="DF50" s="190" t="e">
        <f t="shared" si="97"/>
        <v>#REF!</v>
      </c>
      <c r="DG50" s="1"/>
      <c r="DH50" s="253" t="s">
        <v>272</v>
      </c>
      <c r="DI50" s="253">
        <v>0</v>
      </c>
      <c r="DJ50" s="173">
        <f t="shared" si="98"/>
        <v>0</v>
      </c>
      <c r="DK50" s="172" t="e">
        <f>IF(VLOOKUP($B50,#REF!,6,FALSE)="Y","Yes","")</f>
        <v>#REF!</v>
      </c>
      <c r="DL50" s="172" t="e">
        <f>VLOOKUP($B50,#REF!,4,FALSE)</f>
        <v>#REF!</v>
      </c>
      <c r="DM50" s="173" t="e">
        <f t="shared" si="148"/>
        <v>#REF!</v>
      </c>
      <c r="DN50" s="1"/>
      <c r="DO50" s="172">
        <f t="shared" si="99"/>
        <v>15460851.402267259</v>
      </c>
      <c r="DP50" s="252">
        <v>15066666.097221313</v>
      </c>
      <c r="DQ50" s="172">
        <f t="shared" si="100"/>
        <v>-394185.30504594557</v>
      </c>
      <c r="DR50" s="173">
        <f t="shared" si="149"/>
        <v>-2.5495704912353031E-2</v>
      </c>
      <c r="DS50" s="172">
        <f t="shared" si="101"/>
        <v>15066666.097221313</v>
      </c>
      <c r="DT50" s="252">
        <v>15330707.601057846</v>
      </c>
      <c r="DU50" s="172">
        <f t="shared" si="102"/>
        <v>264041.50383653305</v>
      </c>
      <c r="DV50" s="173">
        <f t="shared" si="103"/>
        <v>1.707807008595999E-2</v>
      </c>
      <c r="DW50" s="172">
        <f t="shared" si="104"/>
        <v>15330707.601057846</v>
      </c>
      <c r="DX50" s="252">
        <v>15224481.487555837</v>
      </c>
      <c r="DY50" s="172">
        <f t="shared" si="105"/>
        <v>-106226.11350200884</v>
      </c>
      <c r="DZ50" s="173">
        <f t="shared" si="106"/>
        <v>-6.8706509582280376E-3</v>
      </c>
      <c r="EA50" s="172">
        <f t="shared" si="107"/>
        <v>15224481.487555837</v>
      </c>
      <c r="EB50" s="252">
        <v>15359390.391940666</v>
      </c>
      <c r="EC50" s="172">
        <f t="shared" si="108"/>
        <v>134908.9043848291</v>
      </c>
      <c r="ED50" s="173">
        <f t="shared" si="109"/>
        <v>8.7258392746110587E-3</v>
      </c>
      <c r="EE50" s="172">
        <f t="shared" si="110"/>
        <v>15359390.391940666</v>
      </c>
      <c r="EF50" s="252">
        <v>15443738.729298316</v>
      </c>
      <c r="EG50" s="172">
        <f t="shared" si="111"/>
        <v>84348.33735764958</v>
      </c>
      <c r="EH50" s="173">
        <f t="shared" si="112"/>
        <v>5.4556075317611754E-3</v>
      </c>
      <c r="EI50" s="172">
        <f t="shared" si="113"/>
        <v>15443738.729298316</v>
      </c>
      <c r="EJ50" s="252">
        <v>15460851.402267259</v>
      </c>
      <c r="EK50" s="172">
        <f t="shared" si="114"/>
        <v>17112.672968942672</v>
      </c>
      <c r="EL50" s="173">
        <f t="shared" si="115"/>
        <v>1.1068389782488421E-3</v>
      </c>
      <c r="EM50" s="172">
        <f t="shared" si="116"/>
        <v>0</v>
      </c>
      <c r="EN50" s="173">
        <f t="shared" si="150"/>
        <v>0</v>
      </c>
      <c r="EO50" s="214"/>
      <c r="EP50" s="273">
        <v>8707673.7624311596</v>
      </c>
      <c r="EQ50" s="273">
        <v>8374613.7753759669</v>
      </c>
      <c r="ER50" s="172">
        <f t="shared" si="117"/>
        <v>-333059.9870551927</v>
      </c>
      <c r="ES50" s="173">
        <f t="shared" si="18"/>
        <v>-3.8249019903819091E-2</v>
      </c>
      <c r="ET50" s="273">
        <v>4239772.4654398337</v>
      </c>
      <c r="EU50" s="273">
        <v>4076391.1148236878</v>
      </c>
      <c r="EV50" s="172">
        <f t="shared" si="118"/>
        <v>-163381.35061614588</v>
      </c>
      <c r="EW50" s="173">
        <f t="shared" si="19"/>
        <v>-3.853540536619262E-2</v>
      </c>
      <c r="EX50" s="273">
        <v>2701405.77</v>
      </c>
      <c r="EY50" s="273">
        <v>2596700.12</v>
      </c>
      <c r="EZ50" s="172">
        <f t="shared" si="119"/>
        <v>-104705.64999999991</v>
      </c>
      <c r="FA50" s="173">
        <f t="shared" si="20"/>
        <v>-3.8759689922480585E-2</v>
      </c>
      <c r="FB50" s="172">
        <f t="shared" si="120"/>
        <v>8374613.7753759669</v>
      </c>
      <c r="FC50" s="273">
        <v>8545740.3703694008</v>
      </c>
      <c r="FD50" s="172">
        <f t="shared" si="121"/>
        <v>171126.59499343392</v>
      </c>
      <c r="FE50" s="173">
        <f t="shared" si="21"/>
        <v>2.0433968608391306E-2</v>
      </c>
      <c r="FF50" s="172">
        <f t="shared" si="122"/>
        <v>4076391.1148236878</v>
      </c>
      <c r="FG50" s="273">
        <v>4118630.8147486802</v>
      </c>
      <c r="FH50" s="172">
        <f t="shared" si="123"/>
        <v>42239.699924992397</v>
      </c>
      <c r="FI50" s="173">
        <f t="shared" si="22"/>
        <v>1.0362033164921014E-2</v>
      </c>
      <c r="FJ50" s="172">
        <f t="shared" si="124"/>
        <v>8545740.3703694008</v>
      </c>
      <c r="FK50" s="273">
        <v>8505787.9104313571</v>
      </c>
      <c r="FL50" s="172">
        <f t="shared" si="125"/>
        <v>-39952.459938043728</v>
      </c>
      <c r="FM50" s="173">
        <f t="shared" si="23"/>
        <v>-4.6751314931788327E-3</v>
      </c>
      <c r="FN50" s="172">
        <f t="shared" si="126"/>
        <v>4118630.8147486802</v>
      </c>
      <c r="FO50" s="273">
        <v>4108768.8571332786</v>
      </c>
      <c r="FP50" s="172">
        <f t="shared" si="127"/>
        <v>-9861.9576154015958</v>
      </c>
      <c r="FQ50" s="173">
        <f t="shared" si="24"/>
        <v>-2.3944747803289999E-3</v>
      </c>
      <c r="FR50" s="172">
        <f t="shared" si="128"/>
        <v>4108768.8571332786</v>
      </c>
      <c r="FS50" s="273">
        <v>4447900.6310066488</v>
      </c>
      <c r="FT50" s="172">
        <f t="shared" si="129"/>
        <v>339131.77387337014</v>
      </c>
      <c r="FU50" s="173">
        <f t="shared" si="25"/>
        <v>8.2538537860215658E-2</v>
      </c>
      <c r="FV50" s="172">
        <f t="shared" si="26"/>
        <v>2596700.12</v>
      </c>
      <c r="FW50" s="273">
        <v>2821726.64</v>
      </c>
      <c r="FX50" s="172">
        <f t="shared" si="130"/>
        <v>225026.52000000002</v>
      </c>
      <c r="FY50" s="173">
        <f t="shared" si="27"/>
        <v>8.6658647360481511E-2</v>
      </c>
      <c r="FZ50" s="214"/>
      <c r="GA50" s="172">
        <f t="shared" si="151"/>
        <v>8707673.7624311596</v>
      </c>
      <c r="GB50" s="172">
        <f t="shared" si="152"/>
        <v>-333059.9870551927</v>
      </c>
      <c r="GC50" s="172">
        <f t="shared" si="153"/>
        <v>171126.59499343392</v>
      </c>
      <c r="GD50" s="172">
        <f t="shared" si="154"/>
        <v>-39952.459938043728</v>
      </c>
      <c r="GE50" s="172">
        <f t="shared" si="155"/>
        <v>-201885.85199980251</v>
      </c>
      <c r="GF50" s="172">
        <f t="shared" si="156"/>
        <v>8505787.9104313571</v>
      </c>
      <c r="GG50" s="173">
        <f t="shared" si="157"/>
        <v>-2.318482036739012E-2</v>
      </c>
      <c r="GH50" s="244"/>
      <c r="GI50" s="172">
        <f t="shared" si="158"/>
        <v>4239772.4654398337</v>
      </c>
      <c r="GJ50" s="172">
        <f t="shared" si="159"/>
        <v>-163381.35061614588</v>
      </c>
      <c r="GK50" s="172">
        <f t="shared" si="160"/>
        <v>42239.699924992397</v>
      </c>
      <c r="GL50" s="172">
        <f t="shared" si="161"/>
        <v>-9861.9576154015958</v>
      </c>
      <c r="GM50" s="172">
        <f t="shared" si="162"/>
        <v>339131.77387337014</v>
      </c>
      <c r="GN50" s="172">
        <f t="shared" si="163"/>
        <v>208128.16556681506</v>
      </c>
      <c r="GO50" s="172">
        <f t="shared" si="164"/>
        <v>4447900.6310066488</v>
      </c>
      <c r="GP50" s="173">
        <f t="shared" si="165"/>
        <v>4.9089465829441362E-2</v>
      </c>
      <c r="GQ50" s="214"/>
      <c r="GR50" s="172">
        <f t="shared" si="166"/>
        <v>2701405.77</v>
      </c>
      <c r="GS50" s="172">
        <f t="shared" si="167"/>
        <v>-104705.64999999991</v>
      </c>
      <c r="GT50" s="172">
        <f t="shared" si="168"/>
        <v>225026.52000000002</v>
      </c>
      <c r="GU50" s="172">
        <f t="shared" si="131"/>
        <v>120320.87000000011</v>
      </c>
      <c r="GV50" s="172">
        <f t="shared" si="132"/>
        <v>2821726.64</v>
      </c>
      <c r="GW50" s="173">
        <f t="shared" si="133"/>
        <v>4.4540095137207067E-2</v>
      </c>
      <c r="GX50" s="214"/>
      <c r="GY50" s="273">
        <v>-188000.59560373353</v>
      </c>
      <c r="GZ50" s="172" t="e">
        <f t="shared" si="134"/>
        <v>#REF!</v>
      </c>
      <c r="HA50" s="172" t="e">
        <f>-VLOOKUP($B50,#REF!,23,FALSE)</f>
        <v>#REF!</v>
      </c>
    </row>
    <row r="51" spans="1:209" ht="15" customHeight="1" x14ac:dyDescent="0.45">
      <c r="A51" s="148">
        <v>2</v>
      </c>
      <c r="B51" s="215" t="s">
        <v>34</v>
      </c>
      <c r="C51" s="172">
        <v>7409091.8599020718</v>
      </c>
      <c r="D51" s="173">
        <f t="shared" si="0"/>
        <v>5.143459742504684E-3</v>
      </c>
      <c r="E51" s="1"/>
      <c r="F51" s="252">
        <v>13224651.030693024</v>
      </c>
      <c r="G51" s="173">
        <f t="shared" si="1"/>
        <v>5.6272225188940496E-3</v>
      </c>
      <c r="H51" s="173">
        <f t="shared" si="46"/>
        <v>1.0940539637924316</v>
      </c>
      <c r="I51" s="172" t="e">
        <f>VLOOKUP($B51,#REF!,24,FALSE)</f>
        <v>#REF!</v>
      </c>
      <c r="J51" s="173" t="e">
        <f t="shared" si="136"/>
        <v>#REF!</v>
      </c>
      <c r="K51" s="173" t="e">
        <f t="shared" si="47"/>
        <v>#REF!</v>
      </c>
      <c r="L51" s="172" t="e">
        <f t="shared" si="48"/>
        <v>#REF!</v>
      </c>
      <c r="M51" s="173" t="e">
        <f t="shared" si="137"/>
        <v>#REF!</v>
      </c>
      <c r="N51" s="173" t="e">
        <f t="shared" si="50"/>
        <v>#REF!</v>
      </c>
      <c r="O51" s="176"/>
      <c r="P51" s="253">
        <v>145</v>
      </c>
      <c r="Q51" s="173">
        <f t="shared" si="138"/>
        <v>8.0654132829013243E-3</v>
      </c>
      <c r="R51" s="172" t="e">
        <f>VLOOKUP($B51,#REF!,4,FALSE)</f>
        <v>#REF!</v>
      </c>
      <c r="S51" s="173" t="e">
        <f t="shared" si="139"/>
        <v>#REF!</v>
      </c>
      <c r="T51" s="172" t="e">
        <f t="shared" si="51"/>
        <v>#REF!</v>
      </c>
      <c r="U51" s="173" t="e">
        <f t="shared" si="52"/>
        <v>#REF!</v>
      </c>
      <c r="V51" s="173" t="e">
        <f t="shared" si="53"/>
        <v>#REF!</v>
      </c>
      <c r="W51" s="1"/>
      <c r="X51" s="189">
        <f>VLOOKUP($B51,'Average RAS salary'!$A$5:$D$62,4,FALSE)</f>
        <v>53028.096870981564</v>
      </c>
      <c r="Y51" s="253">
        <v>50743.887499662211</v>
      </c>
      <c r="Z51" s="252" t="s">
        <v>272</v>
      </c>
      <c r="AA51" s="252" t="s">
        <v>272</v>
      </c>
      <c r="AB51" s="173">
        <f t="shared" si="5"/>
        <v>0.86985717264987328</v>
      </c>
      <c r="AC51" s="172" t="e">
        <f>VLOOKUP($B51,#REF!,3,FALSE)</f>
        <v>#REF!</v>
      </c>
      <c r="AD51" s="172" t="e">
        <f>VLOOKUP($B51,#REF!,5,FALSE)</f>
        <v>#REF!</v>
      </c>
      <c r="AE51" s="172" t="e">
        <f>VLOOKUP($B51,#REF!,6,FALSE)</f>
        <v>#REF!</v>
      </c>
      <c r="AF51" s="173" t="e">
        <f t="shared" si="6"/>
        <v>#REF!</v>
      </c>
      <c r="AG51" s="172" t="e">
        <f t="shared" si="140"/>
        <v>#REF!</v>
      </c>
      <c r="AH51" s="173" t="e">
        <f t="shared" si="141"/>
        <v>#REF!</v>
      </c>
      <c r="AI51" s="173" t="e">
        <f t="shared" si="142"/>
        <v>#REF!</v>
      </c>
      <c r="AJ51" s="189">
        <v>47175.375582010551</v>
      </c>
      <c r="AK51" s="189">
        <f>VLOOKUP($B51,'Average RAS salary'!$A$5:$D$62,4,FALSE)</f>
        <v>53028.096870981564</v>
      </c>
      <c r="AL51" s="189">
        <f t="shared" si="55"/>
        <v>5852.7212889710136</v>
      </c>
      <c r="AM51" s="173">
        <f t="shared" si="56"/>
        <v>0.12406305655789712</v>
      </c>
      <c r="AN51" s="189" t="e">
        <f t="shared" si="57"/>
        <v>#REF!</v>
      </c>
      <c r="AO51" s="189" t="e">
        <f t="shared" si="58"/>
        <v>#REF!</v>
      </c>
      <c r="AP51" s="189" t="e">
        <f t="shared" si="59"/>
        <v>#REF!</v>
      </c>
      <c r="AQ51" s="189" t="e">
        <f t="shared" si="135"/>
        <v>#REF!</v>
      </c>
      <c r="AR51" s="189" t="e">
        <f t="shared" si="60"/>
        <v>#REF!</v>
      </c>
      <c r="AS51" s="189" t="e">
        <f t="shared" si="143"/>
        <v>#REF!</v>
      </c>
      <c r="AT51" s="213" t="e">
        <f t="shared" si="61"/>
        <v>#REF!</v>
      </c>
      <c r="AU51" s="173" t="e">
        <f t="shared" si="62"/>
        <v>#REF!</v>
      </c>
      <c r="AV51" s="189"/>
      <c r="AW51" s="189">
        <f>VLOOKUP($B51,'Average RAS salary'!$A$5:$D$62,4,FALSE)</f>
        <v>53028.096870981564</v>
      </c>
      <c r="AX51" s="189" t="e">
        <f t="shared" si="144"/>
        <v>#REF!</v>
      </c>
      <c r="AY51" s="189">
        <v>44147.755618441057</v>
      </c>
      <c r="AZ51" s="189" t="e">
        <f t="shared" si="145"/>
        <v>#REF!</v>
      </c>
      <c r="BA51" s="189" t="e">
        <f t="shared" si="63"/>
        <v>#REF!</v>
      </c>
      <c r="BB51" s="189" t="e">
        <f t="shared" si="64"/>
        <v>#REF!</v>
      </c>
      <c r="BC51" s="189" t="e">
        <f t="shared" si="65"/>
        <v>#REF!</v>
      </c>
      <c r="BD51" s="213">
        <f t="shared" si="66"/>
        <v>-8880.3412525405074</v>
      </c>
      <c r="BE51" s="173">
        <f t="shared" si="169"/>
        <v>-0.16746483046801694</v>
      </c>
      <c r="BF51" s="189"/>
      <c r="BG51" s="189">
        <f>VLOOKUP($B51,'Average RAS salary'!$A$5:$D$62,4,FALSE)</f>
        <v>53028.096870981564</v>
      </c>
      <c r="BH51" s="189" t="e">
        <f t="shared" si="68"/>
        <v>#REF!</v>
      </c>
      <c r="BI51" s="189" t="e">
        <f>$BG$65*#REF!</f>
        <v>#REF!</v>
      </c>
      <c r="BJ51" s="189" t="e">
        <f t="shared" si="69"/>
        <v>#REF!</v>
      </c>
      <c r="BK51" s="189" t="e">
        <f t="shared" si="146"/>
        <v>#REF!</v>
      </c>
      <c r="BL51" s="189" t="e">
        <f t="shared" si="147"/>
        <v>#REF!</v>
      </c>
      <c r="BM51" s="189" t="e">
        <f t="shared" si="70"/>
        <v>#REF!</v>
      </c>
      <c r="BN51" s="213" t="e">
        <f t="shared" si="71"/>
        <v>#REF!</v>
      </c>
      <c r="BO51" s="173" t="e">
        <f t="shared" si="72"/>
        <v>#REF!</v>
      </c>
      <c r="BP51" s="189"/>
      <c r="BQ51" s="189">
        <f>VLOOKUP($B51,'Average RAS salary'!$A$5:$D$62,4,FALSE)</f>
        <v>53028.096870981564</v>
      </c>
      <c r="BR51" s="189" t="e">
        <f t="shared" si="73"/>
        <v>#REF!</v>
      </c>
      <c r="BS51" s="189" t="e">
        <f>VLOOKUP($B51,#REF!,19,FALSE)*$BQ$65</f>
        <v>#REF!</v>
      </c>
      <c r="BT51" s="189" t="e">
        <f t="shared" si="74"/>
        <v>#REF!</v>
      </c>
      <c r="BU51" s="189" t="e">
        <f t="shared" si="75"/>
        <v>#REF!</v>
      </c>
      <c r="BV51" s="189" t="e">
        <f t="shared" si="76"/>
        <v>#REF!</v>
      </c>
      <c r="BW51" s="189" t="e">
        <f t="shared" si="77"/>
        <v>#REF!</v>
      </c>
      <c r="BX51" s="213" t="e">
        <f t="shared" si="78"/>
        <v>#REF!</v>
      </c>
      <c r="BY51" s="173" t="e">
        <f t="shared" si="79"/>
        <v>#REF!</v>
      </c>
      <c r="BZ51" s="189"/>
      <c r="CA51" s="189">
        <f>VLOOKUP($B51,'Average RAS salary'!$A$5:$D$62,4,FALSE)</f>
        <v>53028.096870981564</v>
      </c>
      <c r="CB51" s="189" t="e">
        <f t="shared" si="80"/>
        <v>#REF!</v>
      </c>
      <c r="CC51" s="189" t="e">
        <f>IF(VLOOKUP($B51,#REF!,7,FALSE)&gt;VLOOKUP($B51,#REF!,19,FALSE)*$CA$65,VLOOKUP($B51,#REF!,19,FALSE)*$CA$65,VLOOKUP($B51,#REF!,7,FALSE))</f>
        <v>#REF!</v>
      </c>
      <c r="CD51" s="189" t="e">
        <f t="shared" si="81"/>
        <v>#REF!</v>
      </c>
      <c r="CE51" s="189" t="e">
        <f t="shared" si="82"/>
        <v>#REF!</v>
      </c>
      <c r="CF51" s="189" t="e">
        <f t="shared" si="83"/>
        <v>#REF!</v>
      </c>
      <c r="CG51" s="189" t="e">
        <f t="shared" si="84"/>
        <v>#REF!</v>
      </c>
      <c r="CH51" s="213" t="e">
        <f t="shared" si="85"/>
        <v>#REF!</v>
      </c>
      <c r="CI51" s="173" t="e">
        <f t="shared" si="86"/>
        <v>#REF!</v>
      </c>
      <c r="CJ51" s="189"/>
      <c r="CK51" s="189">
        <f>VLOOKUP($B51,'Average RAS salary'!$A$5:$D$62,4,FALSE)</f>
        <v>53028.096870981564</v>
      </c>
      <c r="CL51" s="189" t="e">
        <f t="shared" si="87"/>
        <v>#REF!</v>
      </c>
      <c r="CM51" s="189" t="e">
        <f>IF($AY51&gt;VLOOKUP($B51,#REF!,19,FALSE)*$CK$65,VLOOKUP($B51,#REF!,19,FALSE)*$CK$65,$AY51)</f>
        <v>#REF!</v>
      </c>
      <c r="CN51" s="189" t="e">
        <f t="shared" si="88"/>
        <v>#REF!</v>
      </c>
      <c r="CO51" s="189" t="e">
        <f t="shared" si="89"/>
        <v>#REF!</v>
      </c>
      <c r="CP51" s="189" t="e">
        <f t="shared" si="90"/>
        <v>#REF!</v>
      </c>
      <c r="CQ51" s="189" t="e">
        <f t="shared" si="91"/>
        <v>#REF!</v>
      </c>
      <c r="CR51" s="213" t="e">
        <f t="shared" si="92"/>
        <v>#REF!</v>
      </c>
      <c r="CS51" s="173" t="e">
        <f t="shared" si="93"/>
        <v>#REF!</v>
      </c>
      <c r="CT51" s="1"/>
      <c r="CU51" s="254">
        <v>0.23392865256778134</v>
      </c>
      <c r="CV51" s="252">
        <v>9789.1126530612073</v>
      </c>
      <c r="CW51" s="254">
        <v>0.25365753745974573</v>
      </c>
      <c r="CX51" s="255">
        <v>12359.971467576786</v>
      </c>
      <c r="CY51" s="190" t="e">
        <f>VLOOKUP($B51,#REF!,13,FALSE)</f>
        <v>#REF!</v>
      </c>
      <c r="CZ51" s="172" t="e">
        <f>VLOOKUP($B51,#REF!,14,FALSE)</f>
        <v>#REF!</v>
      </c>
      <c r="DA51" s="190" t="e">
        <f>VLOOKUP($B51,#REF!,15,FALSE)</f>
        <v>#REF!</v>
      </c>
      <c r="DB51" s="189" t="e">
        <f>VLOOKUP($B51,#REF!,16,FALSE)</f>
        <v>#REF!</v>
      </c>
      <c r="DC51" s="190" t="e">
        <f t="shared" si="94"/>
        <v>#REF!</v>
      </c>
      <c r="DD51" s="190" t="e">
        <f t="shared" si="95"/>
        <v>#REF!</v>
      </c>
      <c r="DE51" s="190" t="e">
        <f t="shared" si="96"/>
        <v>#REF!</v>
      </c>
      <c r="DF51" s="190" t="e">
        <f t="shared" si="97"/>
        <v>#REF!</v>
      </c>
      <c r="DG51" s="1"/>
      <c r="DH51" s="253" t="s">
        <v>272</v>
      </c>
      <c r="DI51" s="253">
        <v>0</v>
      </c>
      <c r="DJ51" s="173">
        <f t="shared" si="98"/>
        <v>0</v>
      </c>
      <c r="DK51" s="172" t="e">
        <f>IF(VLOOKUP($B51,#REF!,6,FALSE)="Y","Yes","")</f>
        <v>#REF!</v>
      </c>
      <c r="DL51" s="172" t="e">
        <f>VLOOKUP($B51,#REF!,4,FALSE)</f>
        <v>#REF!</v>
      </c>
      <c r="DM51" s="173" t="e">
        <f t="shared" si="148"/>
        <v>#REF!</v>
      </c>
      <c r="DN51" s="1"/>
      <c r="DO51" s="172">
        <f t="shared" si="99"/>
        <v>13224651.030693024</v>
      </c>
      <c r="DP51" s="252">
        <v>12681444.777758196</v>
      </c>
      <c r="DQ51" s="172">
        <f t="shared" si="100"/>
        <v>-543206.2529348284</v>
      </c>
      <c r="DR51" s="173">
        <f t="shared" si="149"/>
        <v>-4.1075280676526271E-2</v>
      </c>
      <c r="DS51" s="172">
        <f t="shared" si="101"/>
        <v>12681444.777758196</v>
      </c>
      <c r="DT51" s="252">
        <v>12901255.525805457</v>
      </c>
      <c r="DU51" s="172">
        <f t="shared" si="102"/>
        <v>219810.74804726057</v>
      </c>
      <c r="DV51" s="173">
        <f t="shared" si="103"/>
        <v>1.662128910147443E-2</v>
      </c>
      <c r="DW51" s="172">
        <f t="shared" si="104"/>
        <v>12901255.525805457</v>
      </c>
      <c r="DX51" s="252">
        <v>13063939.97222591</v>
      </c>
      <c r="DY51" s="172">
        <f t="shared" si="105"/>
        <v>162684.44642045349</v>
      </c>
      <c r="DZ51" s="173">
        <f t="shared" si="106"/>
        <v>1.2301605996474311E-2</v>
      </c>
      <c r="EA51" s="172">
        <f t="shared" si="107"/>
        <v>13063939.97222591</v>
      </c>
      <c r="EB51" s="252">
        <v>13132615.68187779</v>
      </c>
      <c r="EC51" s="172">
        <f t="shared" si="108"/>
        <v>68675.709651879966</v>
      </c>
      <c r="ED51" s="173">
        <f t="shared" si="109"/>
        <v>5.1930073234061807E-3</v>
      </c>
      <c r="EE51" s="172">
        <f t="shared" si="110"/>
        <v>13132615.68187779</v>
      </c>
      <c r="EF51" s="252">
        <v>13227425.82852011</v>
      </c>
      <c r="EG51" s="172">
        <f t="shared" si="111"/>
        <v>94810.146642319858</v>
      </c>
      <c r="EH51" s="173">
        <f t="shared" si="112"/>
        <v>7.1691983722122783E-3</v>
      </c>
      <c r="EI51" s="172">
        <f t="shared" si="113"/>
        <v>13227425.82852011</v>
      </c>
      <c r="EJ51" s="252">
        <v>13224651.030693024</v>
      </c>
      <c r="EK51" s="172">
        <f t="shared" si="114"/>
        <v>-2774.7978270854801</v>
      </c>
      <c r="EL51" s="173">
        <f t="shared" si="115"/>
        <v>-2.0982011704093106E-4</v>
      </c>
      <c r="EM51" s="172">
        <f t="shared" si="116"/>
        <v>0</v>
      </c>
      <c r="EN51" s="173">
        <f t="shared" si="150"/>
        <v>0</v>
      </c>
      <c r="EO51" s="214"/>
      <c r="EP51" s="273">
        <v>7445260.0778255397</v>
      </c>
      <c r="EQ51" s="273">
        <v>7343772.3028262146</v>
      </c>
      <c r="ER51" s="172">
        <f t="shared" si="117"/>
        <v>-101487.77499932516</v>
      </c>
      <c r="ES51" s="173">
        <f t="shared" si="18"/>
        <v>-1.3631192723755816E-2</v>
      </c>
      <c r="ET51" s="273">
        <v>3259248.662551085</v>
      </c>
      <c r="EU51" s="273">
        <v>3215929.5387872686</v>
      </c>
      <c r="EV51" s="172">
        <f t="shared" si="118"/>
        <v>-43319.123763816431</v>
      </c>
      <c r="EW51" s="173">
        <f t="shared" si="19"/>
        <v>-1.3291138004152653E-2</v>
      </c>
      <c r="EX51" s="273">
        <v>3036463.85</v>
      </c>
      <c r="EY51" s="273">
        <v>2994581.5900000003</v>
      </c>
      <c r="EZ51" s="172">
        <f t="shared" si="119"/>
        <v>-41882.259999999776</v>
      </c>
      <c r="FA51" s="173">
        <f t="shared" si="20"/>
        <v>-1.3793103448275787E-2</v>
      </c>
      <c r="FB51" s="172">
        <f t="shared" si="120"/>
        <v>7343772.3028262146</v>
      </c>
      <c r="FC51" s="273">
        <v>7493268.2626975589</v>
      </c>
      <c r="FD51" s="172">
        <f t="shared" si="121"/>
        <v>149495.95987134427</v>
      </c>
      <c r="FE51" s="173">
        <f t="shared" si="21"/>
        <v>2.0356834840019683E-2</v>
      </c>
      <c r="FF51" s="172">
        <f t="shared" si="122"/>
        <v>3215929.5387872686</v>
      </c>
      <c r="FG51" s="273">
        <v>3251545.5492038028</v>
      </c>
      <c r="FH51" s="172">
        <f t="shared" si="123"/>
        <v>35616.010416534264</v>
      </c>
      <c r="FI51" s="173">
        <f t="shared" si="22"/>
        <v>1.107487275046614E-2</v>
      </c>
      <c r="FJ51" s="172">
        <f t="shared" si="124"/>
        <v>7493268.2626975589</v>
      </c>
      <c r="FK51" s="273">
        <v>7752929.6170353154</v>
      </c>
      <c r="FL51" s="172">
        <f t="shared" si="125"/>
        <v>259661.35433775652</v>
      </c>
      <c r="FM51" s="173">
        <f t="shared" si="23"/>
        <v>3.4652616886864135E-2</v>
      </c>
      <c r="FN51" s="172">
        <f t="shared" si="126"/>
        <v>3251545.5492038028</v>
      </c>
      <c r="FO51" s="273">
        <v>3313306.5358288405</v>
      </c>
      <c r="FP51" s="172">
        <f t="shared" si="127"/>
        <v>61760.986625037622</v>
      </c>
      <c r="FQ51" s="173">
        <f t="shared" si="24"/>
        <v>1.8994347669575432E-2</v>
      </c>
      <c r="FR51" s="172">
        <f t="shared" si="128"/>
        <v>3313306.5358288405</v>
      </c>
      <c r="FS51" s="273">
        <v>3451437.5365214599</v>
      </c>
      <c r="FT51" s="172">
        <f t="shared" si="129"/>
        <v>138131.00069261948</v>
      </c>
      <c r="FU51" s="173">
        <f t="shared" si="25"/>
        <v>4.1689774006396091E-2</v>
      </c>
      <c r="FV51" s="172">
        <f t="shared" si="26"/>
        <v>2994581.5900000003</v>
      </c>
      <c r="FW51" s="273">
        <v>3254087.98</v>
      </c>
      <c r="FX51" s="172">
        <f t="shared" si="130"/>
        <v>259506.38999999966</v>
      </c>
      <c r="FY51" s="173">
        <f t="shared" si="27"/>
        <v>8.6658647360481386E-2</v>
      </c>
      <c r="FZ51" s="214"/>
      <c r="GA51" s="172">
        <f t="shared" si="151"/>
        <v>7445260.0778255397</v>
      </c>
      <c r="GB51" s="172">
        <f t="shared" si="152"/>
        <v>-101487.77499932516</v>
      </c>
      <c r="GC51" s="172">
        <f t="shared" si="153"/>
        <v>149495.95987134427</v>
      </c>
      <c r="GD51" s="172">
        <f t="shared" si="154"/>
        <v>259661.35433775652</v>
      </c>
      <c r="GE51" s="172">
        <f t="shared" si="155"/>
        <v>307669.53920977563</v>
      </c>
      <c r="GF51" s="172">
        <f t="shared" si="156"/>
        <v>7752929.6170353154</v>
      </c>
      <c r="GG51" s="173">
        <f t="shared" si="157"/>
        <v>4.1324216480511919E-2</v>
      </c>
      <c r="GH51" s="244"/>
      <c r="GI51" s="172">
        <f t="shared" si="158"/>
        <v>3259248.662551085</v>
      </c>
      <c r="GJ51" s="172">
        <f t="shared" si="159"/>
        <v>-43319.123763816431</v>
      </c>
      <c r="GK51" s="172">
        <f t="shared" si="160"/>
        <v>35616.010416534264</v>
      </c>
      <c r="GL51" s="172">
        <f t="shared" si="161"/>
        <v>61760.986625037622</v>
      </c>
      <c r="GM51" s="172">
        <f t="shared" si="162"/>
        <v>138131.00069261948</v>
      </c>
      <c r="GN51" s="172">
        <f t="shared" si="163"/>
        <v>192188.87397037493</v>
      </c>
      <c r="GO51" s="172">
        <f t="shared" si="164"/>
        <v>3451437.5365214599</v>
      </c>
      <c r="GP51" s="173">
        <f t="shared" si="165"/>
        <v>5.8967232595240067E-2</v>
      </c>
      <c r="GQ51" s="214"/>
      <c r="GR51" s="172">
        <f t="shared" si="166"/>
        <v>3036463.85</v>
      </c>
      <c r="GS51" s="172">
        <f t="shared" si="167"/>
        <v>-41882.259999999776</v>
      </c>
      <c r="GT51" s="172">
        <f t="shared" si="168"/>
        <v>259506.38999999966</v>
      </c>
      <c r="GU51" s="172">
        <f t="shared" si="131"/>
        <v>217624.12999999989</v>
      </c>
      <c r="GV51" s="172">
        <f t="shared" si="132"/>
        <v>3254087.98</v>
      </c>
      <c r="GW51" s="173">
        <f t="shared" si="133"/>
        <v>7.1670252224474817E-2</v>
      </c>
      <c r="GX51" s="214"/>
      <c r="GY51" s="273">
        <v>-516321.55968360137</v>
      </c>
      <c r="GZ51" s="172" t="e">
        <f>HA51-GY51</f>
        <v>#REF!</v>
      </c>
      <c r="HA51" s="172" t="e">
        <f>-VLOOKUP($B51,#REF!,23,FALSE)</f>
        <v>#REF!</v>
      </c>
    </row>
    <row r="52" spans="1:209" ht="15" customHeight="1" x14ac:dyDescent="0.45">
      <c r="A52" s="148">
        <v>1</v>
      </c>
      <c r="B52" s="212" t="s">
        <v>17</v>
      </c>
      <c r="C52" s="172">
        <v>542215.13545166003</v>
      </c>
      <c r="D52" s="173">
        <f t="shared" si="0"/>
        <v>3.7641073612079619E-4</v>
      </c>
      <c r="E52" s="1"/>
      <c r="F52" s="252">
        <v>350609.1997698507</v>
      </c>
      <c r="G52" s="173">
        <f t="shared" si="1"/>
        <v>1.4918775396774577E-4</v>
      </c>
      <c r="H52" s="173">
        <f t="shared" si="46"/>
        <v>0.39634298294793868</v>
      </c>
      <c r="I52" s="172" t="e">
        <f>VLOOKUP($B52,#REF!,24,FALSE)</f>
        <v>#REF!</v>
      </c>
      <c r="J52" s="173" t="e">
        <f t="shared" si="136"/>
        <v>#REF!</v>
      </c>
      <c r="K52" s="173" t="e">
        <f t="shared" si="47"/>
        <v>#REF!</v>
      </c>
      <c r="L52" s="172" t="e">
        <f t="shared" si="48"/>
        <v>#REF!</v>
      </c>
      <c r="M52" s="173" t="e">
        <f t="shared" si="137"/>
        <v>#REF!</v>
      </c>
      <c r="N52" s="173" t="e">
        <f t="shared" si="50"/>
        <v>#REF!</v>
      </c>
      <c r="O52" s="176"/>
      <c r="P52" s="253">
        <v>3</v>
      </c>
      <c r="Q52" s="173">
        <f t="shared" si="138"/>
        <v>1.6687061964623429E-4</v>
      </c>
      <c r="R52" s="172" t="e">
        <f>VLOOKUP($B52,#REF!,4,FALSE)</f>
        <v>#REF!</v>
      </c>
      <c r="S52" s="173" t="e">
        <f t="shared" si="139"/>
        <v>#REF!</v>
      </c>
      <c r="T52" s="172" t="e">
        <f t="shared" si="51"/>
        <v>#REF!</v>
      </c>
      <c r="U52" s="173" t="e">
        <f t="shared" si="52"/>
        <v>#REF!</v>
      </c>
      <c r="V52" s="173" t="e">
        <f t="shared" si="53"/>
        <v>#REF!</v>
      </c>
      <c r="W52" s="1"/>
      <c r="X52" s="189">
        <f>VLOOKUP($B52,'Average RAS salary'!$A$5:$D$62,4,FALSE)</f>
        <v>44188.179487179492</v>
      </c>
      <c r="Y52" s="253">
        <v>36282.555139288044</v>
      </c>
      <c r="Z52" s="252" t="s">
        <v>273</v>
      </c>
      <c r="AA52" s="252" t="s">
        <v>273</v>
      </c>
      <c r="AB52" s="173">
        <f t="shared" si="5"/>
        <v>0.62195945925870022</v>
      </c>
      <c r="AC52" s="172" t="e">
        <f>VLOOKUP($B52,#REF!,3,FALSE)</f>
        <v>#REF!</v>
      </c>
      <c r="AD52" s="172" t="e">
        <f>VLOOKUP($B52,#REF!,5,FALSE)</f>
        <v>#REF!</v>
      </c>
      <c r="AE52" s="172" t="e">
        <f>VLOOKUP($B52,#REF!,6,FALSE)</f>
        <v>#REF!</v>
      </c>
      <c r="AF52" s="173" t="e">
        <f t="shared" si="6"/>
        <v>#REF!</v>
      </c>
      <c r="AG52" s="172" t="e">
        <f t="shared" si="140"/>
        <v>#REF!</v>
      </c>
      <c r="AH52" s="173" t="e">
        <f t="shared" si="141"/>
        <v>#REF!</v>
      </c>
      <c r="AI52" s="173" t="e">
        <f t="shared" si="142"/>
        <v>#REF!</v>
      </c>
      <c r="AJ52" s="189">
        <v>44063.842105263167</v>
      </c>
      <c r="AK52" s="189">
        <f>VLOOKUP($B52,'Average RAS salary'!$A$5:$D$62,4,FALSE)</f>
        <v>44188.179487179492</v>
      </c>
      <c r="AL52" s="189">
        <f t="shared" si="55"/>
        <v>124.33738191632438</v>
      </c>
      <c r="AM52" s="173">
        <f t="shared" si="56"/>
        <v>2.821755343514927E-3</v>
      </c>
      <c r="AN52" s="189" t="e">
        <f t="shared" si="57"/>
        <v>#REF!</v>
      </c>
      <c r="AO52" s="189" t="e">
        <f t="shared" si="58"/>
        <v>#REF!</v>
      </c>
      <c r="AP52" s="189" t="e">
        <f t="shared" si="59"/>
        <v>#REF!</v>
      </c>
      <c r="AQ52" s="189" t="e">
        <f t="shared" si="135"/>
        <v>#REF!</v>
      </c>
      <c r="AR52" s="189" t="e">
        <f t="shared" si="60"/>
        <v>#REF!</v>
      </c>
      <c r="AS52" s="189" t="e">
        <f t="shared" si="143"/>
        <v>#REF!</v>
      </c>
      <c r="AT52" s="213" t="e">
        <f t="shared" si="61"/>
        <v>#REF!</v>
      </c>
      <c r="AU52" s="173" t="e">
        <f t="shared" si="62"/>
        <v>#REF!</v>
      </c>
      <c r="AV52" s="189"/>
      <c r="AW52" s="189">
        <f>VLOOKUP($B52,'Average RAS salary'!$A$5:$D$62,4,FALSE)</f>
        <v>44188.179487179492</v>
      </c>
      <c r="AX52" s="189" t="e">
        <f t="shared" si="144"/>
        <v>#REF!</v>
      </c>
      <c r="AY52" s="189">
        <v>39865.262959708809</v>
      </c>
      <c r="AZ52" s="189" t="e">
        <f t="shared" si="145"/>
        <v>#REF!</v>
      </c>
      <c r="BA52" s="189" t="e">
        <f t="shared" si="63"/>
        <v>#REF!</v>
      </c>
      <c r="BB52" s="189" t="e">
        <f t="shared" si="64"/>
        <v>#REF!</v>
      </c>
      <c r="BC52" s="189" t="e">
        <f t="shared" si="65"/>
        <v>#REF!</v>
      </c>
      <c r="BD52" s="213">
        <f t="shared" si="66"/>
        <v>-4322.9165274706829</v>
      </c>
      <c r="BE52" s="173">
        <f t="shared" si="169"/>
        <v>-9.7829704179709626E-2</v>
      </c>
      <c r="BF52" s="189"/>
      <c r="BG52" s="189">
        <f>VLOOKUP($B52,'Average RAS salary'!$A$5:$D$62,4,FALSE)</f>
        <v>44188.179487179492</v>
      </c>
      <c r="BH52" s="189" t="e">
        <f t="shared" si="68"/>
        <v>#REF!</v>
      </c>
      <c r="BI52" s="189" t="e">
        <f>$BG$65*#REF!</f>
        <v>#REF!</v>
      </c>
      <c r="BJ52" s="189" t="e">
        <f t="shared" si="69"/>
        <v>#REF!</v>
      </c>
      <c r="BK52" s="189" t="e">
        <f t="shared" si="146"/>
        <v>#REF!</v>
      </c>
      <c r="BL52" s="189" t="e">
        <f t="shared" si="147"/>
        <v>#REF!</v>
      </c>
      <c r="BM52" s="189" t="e">
        <f t="shared" si="70"/>
        <v>#REF!</v>
      </c>
      <c r="BN52" s="213" t="e">
        <f t="shared" si="71"/>
        <v>#REF!</v>
      </c>
      <c r="BO52" s="173" t="e">
        <f t="shared" si="72"/>
        <v>#REF!</v>
      </c>
      <c r="BP52" s="189"/>
      <c r="BQ52" s="189">
        <f>VLOOKUP($B52,'Average RAS salary'!$A$5:$D$62,4,FALSE)</f>
        <v>44188.179487179492</v>
      </c>
      <c r="BR52" s="189" t="e">
        <f t="shared" si="73"/>
        <v>#REF!</v>
      </c>
      <c r="BS52" s="189" t="e">
        <f>VLOOKUP($B52,#REF!,19,FALSE)*$BQ$65</f>
        <v>#REF!</v>
      </c>
      <c r="BT52" s="189" t="e">
        <f t="shared" si="74"/>
        <v>#REF!</v>
      </c>
      <c r="BU52" s="189" t="e">
        <f t="shared" si="75"/>
        <v>#REF!</v>
      </c>
      <c r="BV52" s="189" t="e">
        <f t="shared" si="76"/>
        <v>#REF!</v>
      </c>
      <c r="BW52" s="189" t="e">
        <f t="shared" si="77"/>
        <v>#REF!</v>
      </c>
      <c r="BX52" s="213" t="e">
        <f t="shared" si="78"/>
        <v>#REF!</v>
      </c>
      <c r="BY52" s="173" t="e">
        <f t="shared" si="79"/>
        <v>#REF!</v>
      </c>
      <c r="BZ52" s="189"/>
      <c r="CA52" s="189">
        <f>VLOOKUP($B52,'Average RAS salary'!$A$5:$D$62,4,FALSE)</f>
        <v>44188.179487179492</v>
      </c>
      <c r="CB52" s="189" t="e">
        <f t="shared" si="80"/>
        <v>#REF!</v>
      </c>
      <c r="CC52" s="189" t="e">
        <f>IF(VLOOKUP($B52,#REF!,7,FALSE)&gt;VLOOKUP($B52,#REF!,19,FALSE)*$CA$65,VLOOKUP($B52,#REF!,19,FALSE)*$CA$65,VLOOKUP($B52,#REF!,7,FALSE))</f>
        <v>#REF!</v>
      </c>
      <c r="CD52" s="189" t="e">
        <f t="shared" si="81"/>
        <v>#REF!</v>
      </c>
      <c r="CE52" s="189" t="e">
        <f t="shared" si="82"/>
        <v>#REF!</v>
      </c>
      <c r="CF52" s="189" t="e">
        <f t="shared" si="83"/>
        <v>#REF!</v>
      </c>
      <c r="CG52" s="189" t="e">
        <f t="shared" si="84"/>
        <v>#REF!</v>
      </c>
      <c r="CH52" s="213" t="e">
        <f t="shared" si="85"/>
        <v>#REF!</v>
      </c>
      <c r="CI52" s="173" t="e">
        <f t="shared" si="86"/>
        <v>#REF!</v>
      </c>
      <c r="CJ52" s="189"/>
      <c r="CK52" s="189">
        <f>VLOOKUP($B52,'Average RAS salary'!$A$5:$D$62,4,FALSE)</f>
        <v>44188.179487179492</v>
      </c>
      <c r="CL52" s="189" t="e">
        <f t="shared" si="87"/>
        <v>#REF!</v>
      </c>
      <c r="CM52" s="189" t="e">
        <f>IF($AY52&gt;VLOOKUP($B52,#REF!,19,FALSE)*$CK$65,VLOOKUP($B52,#REF!,19,FALSE)*$CK$65,$AY52)</f>
        <v>#REF!</v>
      </c>
      <c r="CN52" s="189" t="e">
        <f t="shared" si="88"/>
        <v>#REF!</v>
      </c>
      <c r="CO52" s="189" t="e">
        <f t="shared" si="89"/>
        <v>#REF!</v>
      </c>
      <c r="CP52" s="189" t="e">
        <f t="shared" si="90"/>
        <v>#REF!</v>
      </c>
      <c r="CQ52" s="189" t="e">
        <f t="shared" si="91"/>
        <v>#REF!</v>
      </c>
      <c r="CR52" s="213" t="e">
        <f t="shared" si="92"/>
        <v>#REF!</v>
      </c>
      <c r="CS52" s="173" t="e">
        <f t="shared" si="93"/>
        <v>#REF!</v>
      </c>
      <c r="CT52" s="1"/>
      <c r="CU52" s="254">
        <v>0.32009000114799724</v>
      </c>
      <c r="CV52" s="252">
        <v>16500</v>
      </c>
      <c r="CW52" s="254">
        <v>0.32008998457897192</v>
      </c>
      <c r="CX52" s="255">
        <v>16500</v>
      </c>
      <c r="CY52" s="190" t="e">
        <f>VLOOKUP($B52,#REF!,13,FALSE)</f>
        <v>#REF!</v>
      </c>
      <c r="CZ52" s="172" t="e">
        <f>VLOOKUP($B52,#REF!,14,FALSE)</f>
        <v>#REF!</v>
      </c>
      <c r="DA52" s="190" t="e">
        <f>VLOOKUP($B52,#REF!,15,FALSE)</f>
        <v>#REF!</v>
      </c>
      <c r="DB52" s="189" t="e">
        <f>VLOOKUP($B52,#REF!,16,FALSE)</f>
        <v>#REF!</v>
      </c>
      <c r="DC52" s="190" t="e">
        <f t="shared" si="94"/>
        <v>#REF!</v>
      </c>
      <c r="DD52" s="190" t="e">
        <f t="shared" si="95"/>
        <v>#REF!</v>
      </c>
      <c r="DE52" s="190" t="e">
        <f t="shared" si="96"/>
        <v>#REF!</v>
      </c>
      <c r="DF52" s="190" t="e">
        <f t="shared" si="97"/>
        <v>#REF!</v>
      </c>
      <c r="DG52" s="1"/>
      <c r="DH52" s="253" t="s">
        <v>273</v>
      </c>
      <c r="DI52" s="253">
        <v>38052.975921749021</v>
      </c>
      <c r="DJ52" s="173">
        <f t="shared" si="98"/>
        <v>7.5265695372221358E-2</v>
      </c>
      <c r="DK52" s="172" t="e">
        <f>IF(VLOOKUP($B52,#REF!,6,FALSE)="Y","Yes","")</f>
        <v>#REF!</v>
      </c>
      <c r="DL52" s="172" t="e">
        <f>VLOOKUP($B52,#REF!,4,FALSE)</f>
        <v>#REF!</v>
      </c>
      <c r="DM52" s="173" t="e">
        <f t="shared" si="148"/>
        <v>#REF!</v>
      </c>
      <c r="DN52" s="1"/>
      <c r="DO52" s="172">
        <f t="shared" si="99"/>
        <v>350609.1997698507</v>
      </c>
      <c r="DP52" s="252">
        <v>368279.82848917419</v>
      </c>
      <c r="DQ52" s="172">
        <f t="shared" si="100"/>
        <v>17670.628719323489</v>
      </c>
      <c r="DR52" s="173">
        <f t="shared" si="149"/>
        <v>5.0399786231858618E-2</v>
      </c>
      <c r="DS52" s="172">
        <f t="shared" si="101"/>
        <v>368279.82848917419</v>
      </c>
      <c r="DT52" s="252">
        <v>375127.01907186426</v>
      </c>
      <c r="DU52" s="172">
        <f t="shared" si="102"/>
        <v>6847.190582690062</v>
      </c>
      <c r="DV52" s="173">
        <f t="shared" si="103"/>
        <v>1.9529409345746609E-2</v>
      </c>
      <c r="DW52" s="172">
        <f t="shared" si="104"/>
        <v>375127.01907186426</v>
      </c>
      <c r="DX52" s="252">
        <v>358556.12615656189</v>
      </c>
      <c r="DY52" s="172">
        <f t="shared" si="105"/>
        <v>-16570.892915302364</v>
      </c>
      <c r="DZ52" s="173">
        <f t="shared" si="106"/>
        <v>-4.7263143483342547E-2</v>
      </c>
      <c r="EA52" s="172">
        <f t="shared" si="107"/>
        <v>358556.12615656189</v>
      </c>
      <c r="EB52" s="252">
        <v>346447.05123080092</v>
      </c>
      <c r="EC52" s="172">
        <f t="shared" si="108"/>
        <v>-12109.074925760971</v>
      </c>
      <c r="ED52" s="173">
        <f t="shared" si="109"/>
        <v>-3.4537242416085183E-2</v>
      </c>
      <c r="EE52" s="172">
        <f t="shared" si="110"/>
        <v>346447.05123080092</v>
      </c>
      <c r="EF52" s="252">
        <v>351526.32804449112</v>
      </c>
      <c r="EG52" s="172">
        <f t="shared" si="111"/>
        <v>5079.2768136902014</v>
      </c>
      <c r="EH52" s="173">
        <f t="shared" si="112"/>
        <v>1.448700381229122E-2</v>
      </c>
      <c r="EI52" s="172">
        <f t="shared" si="113"/>
        <v>351526.32804449112</v>
      </c>
      <c r="EJ52" s="252">
        <v>350609.1997698507</v>
      </c>
      <c r="EK52" s="172">
        <f t="shared" si="114"/>
        <v>-917.12827464041766</v>
      </c>
      <c r="EL52" s="173">
        <f t="shared" si="115"/>
        <v>-2.6158134904687193E-3</v>
      </c>
      <c r="EM52" s="172">
        <f t="shared" si="116"/>
        <v>0</v>
      </c>
      <c r="EN52" s="173">
        <f t="shared" si="150"/>
        <v>0</v>
      </c>
      <c r="EO52" s="214"/>
      <c r="EP52" s="273">
        <v>164648.39578815212</v>
      </c>
      <c r="EQ52" s="273">
        <v>164648.39578815212</v>
      </c>
      <c r="ER52" s="172">
        <f t="shared" si="117"/>
        <v>0</v>
      </c>
      <c r="ES52" s="173">
        <f t="shared" si="18"/>
        <v>0</v>
      </c>
      <c r="ET52" s="273">
        <v>102202.30398169858</v>
      </c>
      <c r="EU52" s="273">
        <v>102202.30398169858</v>
      </c>
      <c r="EV52" s="172">
        <f t="shared" si="118"/>
        <v>0</v>
      </c>
      <c r="EW52" s="173">
        <f t="shared" si="19"/>
        <v>0</v>
      </c>
      <c r="EX52" s="273">
        <v>88863.42</v>
      </c>
      <c r="EY52" s="273">
        <v>88863.42</v>
      </c>
      <c r="EZ52" s="172">
        <f t="shared" si="119"/>
        <v>0</v>
      </c>
      <c r="FA52" s="173">
        <f t="shared" si="20"/>
        <v>0</v>
      </c>
      <c r="FB52" s="172">
        <f t="shared" si="120"/>
        <v>164648.39578815212</v>
      </c>
      <c r="FC52" s="273">
        <v>164086.94652441319</v>
      </c>
      <c r="FD52" s="172">
        <f t="shared" si="121"/>
        <v>-561.44926373893395</v>
      </c>
      <c r="FE52" s="173">
        <f t="shared" si="21"/>
        <v>-3.4099892747289987E-3</v>
      </c>
      <c r="FF52" s="172">
        <f t="shared" si="122"/>
        <v>102202.30398169858</v>
      </c>
      <c r="FG52" s="273">
        <v>102022.58972555252</v>
      </c>
      <c r="FH52" s="172">
        <f t="shared" si="123"/>
        <v>-179.71425614606414</v>
      </c>
      <c r="FI52" s="173">
        <f t="shared" si="22"/>
        <v>-1.7584168765730141E-3</v>
      </c>
      <c r="FJ52" s="172">
        <f t="shared" si="124"/>
        <v>164086.94652441319</v>
      </c>
      <c r="FK52" s="273">
        <v>209777.49888935784</v>
      </c>
      <c r="FL52" s="172">
        <f t="shared" si="125"/>
        <v>45690.552364944655</v>
      </c>
      <c r="FM52" s="173">
        <f t="shared" si="23"/>
        <v>0.27845330376811372</v>
      </c>
      <c r="FN52" s="172">
        <f t="shared" si="126"/>
        <v>102022.58972555252</v>
      </c>
      <c r="FO52" s="273">
        <v>116647.67815886289</v>
      </c>
      <c r="FP52" s="172">
        <f t="shared" si="127"/>
        <v>14625.088433310375</v>
      </c>
      <c r="FQ52" s="173">
        <f t="shared" si="24"/>
        <v>0.14335147218525648</v>
      </c>
      <c r="FR52" s="172">
        <f t="shared" si="128"/>
        <v>116647.67815886289</v>
      </c>
      <c r="FS52" s="273">
        <v>130720.86776826336</v>
      </c>
      <c r="FT52" s="172">
        <f t="shared" si="129"/>
        <v>14073.189609400462</v>
      </c>
      <c r="FU52" s="173">
        <f t="shared" si="25"/>
        <v>0.12064697584665281</v>
      </c>
      <c r="FV52" s="172">
        <f t="shared" si="26"/>
        <v>88863.42</v>
      </c>
      <c r="FW52" s="273">
        <v>97865.4</v>
      </c>
      <c r="FX52" s="172">
        <f t="shared" si="130"/>
        <v>9001.9799999999959</v>
      </c>
      <c r="FY52" s="173">
        <f t="shared" si="27"/>
        <v>0.1013013003550842</v>
      </c>
      <c r="FZ52" s="214"/>
      <c r="GA52" s="172">
        <f t="shared" si="151"/>
        <v>164648.39578815212</v>
      </c>
      <c r="GB52" s="172">
        <f t="shared" si="152"/>
        <v>0</v>
      </c>
      <c r="GC52" s="172">
        <f t="shared" si="153"/>
        <v>-561.44926373893395</v>
      </c>
      <c r="GD52" s="172">
        <f t="shared" si="154"/>
        <v>45690.552364944655</v>
      </c>
      <c r="GE52" s="172">
        <f t="shared" si="155"/>
        <v>45129.103101205721</v>
      </c>
      <c r="GF52" s="172">
        <f t="shared" si="156"/>
        <v>209777.49888935784</v>
      </c>
      <c r="GG52" s="173">
        <f t="shared" si="157"/>
        <v>0.27409379171402259</v>
      </c>
      <c r="GH52" s="244"/>
      <c r="GI52" s="172">
        <f t="shared" si="158"/>
        <v>102202.30398169858</v>
      </c>
      <c r="GJ52" s="172">
        <f t="shared" si="159"/>
        <v>0</v>
      </c>
      <c r="GK52" s="172">
        <f t="shared" si="160"/>
        <v>-179.71425614606414</v>
      </c>
      <c r="GL52" s="172">
        <f t="shared" si="161"/>
        <v>14625.088433310375</v>
      </c>
      <c r="GM52" s="172">
        <f t="shared" si="162"/>
        <v>14073.189609400462</v>
      </c>
      <c r="GN52" s="172">
        <f t="shared" si="163"/>
        <v>28518.563786564773</v>
      </c>
      <c r="GO52" s="172">
        <f t="shared" si="164"/>
        <v>130720.86776826336</v>
      </c>
      <c r="GP52" s="173">
        <f t="shared" si="165"/>
        <v>0.27904032174922011</v>
      </c>
      <c r="GQ52" s="214"/>
      <c r="GR52" s="172">
        <f t="shared" si="166"/>
        <v>88863.42</v>
      </c>
      <c r="GS52" s="172">
        <f t="shared" si="167"/>
        <v>0</v>
      </c>
      <c r="GT52" s="172">
        <f t="shared" si="168"/>
        <v>9001.9799999999959</v>
      </c>
      <c r="GU52" s="172">
        <f t="shared" si="131"/>
        <v>9001.9799999999959</v>
      </c>
      <c r="GV52" s="172">
        <f t="shared" si="132"/>
        <v>97865.4</v>
      </c>
      <c r="GW52" s="173">
        <f t="shared" si="133"/>
        <v>0.1013013003550842</v>
      </c>
      <c r="GX52" s="214"/>
      <c r="GY52" s="273">
        <v>-5104.92</v>
      </c>
      <c r="GZ52" s="172" t="e">
        <f t="shared" si="134"/>
        <v>#REF!</v>
      </c>
      <c r="HA52" s="172" t="e">
        <f>-VLOOKUP($B52,#REF!,23,FALSE)</f>
        <v>#REF!</v>
      </c>
    </row>
    <row r="53" spans="1:209" ht="15" customHeight="1" x14ac:dyDescent="0.45">
      <c r="A53" s="148">
        <v>2</v>
      </c>
      <c r="B53" s="215" t="s">
        <v>35</v>
      </c>
      <c r="C53" s="172">
        <v>3254627.3015056946</v>
      </c>
      <c r="D53" s="173">
        <f t="shared" si="0"/>
        <v>2.2593922195442255E-3</v>
      </c>
      <c r="E53" s="1"/>
      <c r="F53" s="252">
        <v>2991415.2271279641</v>
      </c>
      <c r="G53" s="173">
        <f t="shared" si="1"/>
        <v>1.2728773780410977E-3</v>
      </c>
      <c r="H53" s="173">
        <f t="shared" si="46"/>
        <v>0.56337158596477244</v>
      </c>
      <c r="I53" s="172" t="e">
        <f>VLOOKUP($B53,#REF!,24,FALSE)</f>
        <v>#REF!</v>
      </c>
      <c r="J53" s="173" t="e">
        <f t="shared" si="136"/>
        <v>#REF!</v>
      </c>
      <c r="K53" s="173" t="e">
        <f t="shared" si="47"/>
        <v>#REF!</v>
      </c>
      <c r="L53" s="172" t="e">
        <f t="shared" si="48"/>
        <v>#REF!</v>
      </c>
      <c r="M53" s="173" t="e">
        <f t="shared" si="137"/>
        <v>#REF!</v>
      </c>
      <c r="N53" s="173" t="e">
        <f t="shared" si="50"/>
        <v>#REF!</v>
      </c>
      <c r="O53" s="176"/>
      <c r="P53" s="253">
        <v>33</v>
      </c>
      <c r="Q53" s="173">
        <f t="shared" si="138"/>
        <v>1.8355768161085772E-3</v>
      </c>
      <c r="R53" s="172" t="e">
        <f>VLOOKUP($B53,#REF!,4,FALSE)</f>
        <v>#REF!</v>
      </c>
      <c r="S53" s="173" t="e">
        <f t="shared" si="139"/>
        <v>#REF!</v>
      </c>
      <c r="T53" s="172" t="e">
        <f t="shared" si="51"/>
        <v>#REF!</v>
      </c>
      <c r="U53" s="173" t="e">
        <f t="shared" si="52"/>
        <v>#REF!</v>
      </c>
      <c r="V53" s="173" t="e">
        <f t="shared" si="53"/>
        <v>#REF!</v>
      </c>
      <c r="W53" s="1"/>
      <c r="X53" s="189">
        <f>VLOOKUP($B53,'Average RAS salary'!$A$5:$D$62,4,FALSE)</f>
        <v>53400.240026818625</v>
      </c>
      <c r="Y53" s="253">
        <v>40822.965554341361</v>
      </c>
      <c r="Z53" s="252" t="s">
        <v>273</v>
      </c>
      <c r="AA53" s="252" t="s">
        <v>273</v>
      </c>
      <c r="AB53" s="173">
        <f t="shared" si="5"/>
        <v>0.69979166252327285</v>
      </c>
      <c r="AC53" s="172" t="e">
        <f>VLOOKUP($B53,#REF!,3,FALSE)</f>
        <v>#REF!</v>
      </c>
      <c r="AD53" s="172" t="e">
        <f>VLOOKUP($B53,#REF!,5,FALSE)</f>
        <v>#REF!</v>
      </c>
      <c r="AE53" s="172" t="e">
        <f>VLOOKUP($B53,#REF!,6,FALSE)</f>
        <v>#REF!</v>
      </c>
      <c r="AF53" s="173" t="e">
        <f t="shared" si="6"/>
        <v>#REF!</v>
      </c>
      <c r="AG53" s="172" t="e">
        <f t="shared" si="140"/>
        <v>#REF!</v>
      </c>
      <c r="AH53" s="173" t="e">
        <f t="shared" si="141"/>
        <v>#REF!</v>
      </c>
      <c r="AI53" s="173" t="e">
        <f t="shared" si="142"/>
        <v>#REF!</v>
      </c>
      <c r="AJ53" s="189">
        <v>55014.530767780154</v>
      </c>
      <c r="AK53" s="189">
        <f>VLOOKUP($B53,'Average RAS salary'!$A$5:$D$62,4,FALSE)</f>
        <v>53400.240026818625</v>
      </c>
      <c r="AL53" s="189">
        <f t="shared" si="55"/>
        <v>-1614.2907409615291</v>
      </c>
      <c r="AM53" s="173">
        <f t="shared" si="56"/>
        <v>-2.9342988451097646E-2</v>
      </c>
      <c r="AN53" s="189" t="e">
        <f t="shared" si="57"/>
        <v>#REF!</v>
      </c>
      <c r="AO53" s="189" t="e">
        <f t="shared" si="58"/>
        <v>#REF!</v>
      </c>
      <c r="AP53" s="189" t="e">
        <f t="shared" si="59"/>
        <v>#REF!</v>
      </c>
      <c r="AQ53" s="189" t="e">
        <f t="shared" si="135"/>
        <v>#REF!</v>
      </c>
      <c r="AR53" s="189" t="e">
        <f t="shared" si="60"/>
        <v>#REF!</v>
      </c>
      <c r="AS53" s="189" t="e">
        <f t="shared" si="143"/>
        <v>#REF!</v>
      </c>
      <c r="AT53" s="213" t="e">
        <f t="shared" si="61"/>
        <v>#REF!</v>
      </c>
      <c r="AU53" s="173" t="e">
        <f t="shared" si="62"/>
        <v>#REF!</v>
      </c>
      <c r="AV53" s="189"/>
      <c r="AW53" s="189">
        <f>VLOOKUP($B53,'Average RAS salary'!$A$5:$D$62,4,FALSE)</f>
        <v>53400.240026818625</v>
      </c>
      <c r="AX53" s="189" t="e">
        <f t="shared" si="144"/>
        <v>#REF!</v>
      </c>
      <c r="AY53" s="189">
        <v>39865.262959708809</v>
      </c>
      <c r="AZ53" s="189" t="e">
        <f t="shared" si="145"/>
        <v>#REF!</v>
      </c>
      <c r="BA53" s="189" t="e">
        <f t="shared" si="63"/>
        <v>#REF!</v>
      </c>
      <c r="BB53" s="189" t="e">
        <f t="shared" si="64"/>
        <v>#REF!</v>
      </c>
      <c r="BC53" s="189" t="e">
        <f t="shared" si="65"/>
        <v>#REF!</v>
      </c>
      <c r="BD53" s="213">
        <f t="shared" si="66"/>
        <v>-13534.977067109816</v>
      </c>
      <c r="BE53" s="173">
        <f t="shared" si="169"/>
        <v>-0.25346285073460889</v>
      </c>
      <c r="BF53" s="189"/>
      <c r="BG53" s="189">
        <f>VLOOKUP($B53,'Average RAS salary'!$A$5:$D$62,4,FALSE)</f>
        <v>53400.240026818625</v>
      </c>
      <c r="BH53" s="189" t="e">
        <f t="shared" si="68"/>
        <v>#REF!</v>
      </c>
      <c r="BI53" s="189" t="e">
        <f>$BG$65*#REF!</f>
        <v>#REF!</v>
      </c>
      <c r="BJ53" s="189" t="e">
        <f t="shared" si="69"/>
        <v>#REF!</v>
      </c>
      <c r="BK53" s="189" t="e">
        <f t="shared" si="146"/>
        <v>#REF!</v>
      </c>
      <c r="BL53" s="189" t="e">
        <f t="shared" si="147"/>
        <v>#REF!</v>
      </c>
      <c r="BM53" s="189" t="e">
        <f t="shared" si="70"/>
        <v>#REF!</v>
      </c>
      <c r="BN53" s="213" t="e">
        <f t="shared" si="71"/>
        <v>#REF!</v>
      </c>
      <c r="BO53" s="173" t="e">
        <f t="shared" si="72"/>
        <v>#REF!</v>
      </c>
      <c r="BP53" s="189"/>
      <c r="BQ53" s="189">
        <f>VLOOKUP($B53,'Average RAS salary'!$A$5:$D$62,4,FALSE)</f>
        <v>53400.240026818625</v>
      </c>
      <c r="BR53" s="189" t="e">
        <f t="shared" si="73"/>
        <v>#REF!</v>
      </c>
      <c r="BS53" s="189" t="e">
        <f>VLOOKUP($B53,#REF!,19,FALSE)*$BQ$65</f>
        <v>#REF!</v>
      </c>
      <c r="BT53" s="189" t="e">
        <f t="shared" si="74"/>
        <v>#REF!</v>
      </c>
      <c r="BU53" s="189" t="e">
        <f t="shared" si="75"/>
        <v>#REF!</v>
      </c>
      <c r="BV53" s="189" t="e">
        <f t="shared" si="76"/>
        <v>#REF!</v>
      </c>
      <c r="BW53" s="189" t="e">
        <f t="shared" si="77"/>
        <v>#REF!</v>
      </c>
      <c r="BX53" s="213" t="e">
        <f t="shared" si="78"/>
        <v>#REF!</v>
      </c>
      <c r="BY53" s="173" t="e">
        <f t="shared" si="79"/>
        <v>#REF!</v>
      </c>
      <c r="BZ53" s="189"/>
      <c r="CA53" s="189">
        <f>VLOOKUP($B53,'Average RAS salary'!$A$5:$D$62,4,FALSE)</f>
        <v>53400.240026818625</v>
      </c>
      <c r="CB53" s="189" t="e">
        <f t="shared" si="80"/>
        <v>#REF!</v>
      </c>
      <c r="CC53" s="189" t="e">
        <f>IF(VLOOKUP($B53,#REF!,7,FALSE)&gt;VLOOKUP($B53,#REF!,19,FALSE)*$CA$65,VLOOKUP($B53,#REF!,19,FALSE)*$CA$65,VLOOKUP($B53,#REF!,7,FALSE))</f>
        <v>#REF!</v>
      </c>
      <c r="CD53" s="189" t="e">
        <f t="shared" si="81"/>
        <v>#REF!</v>
      </c>
      <c r="CE53" s="189" t="e">
        <f t="shared" si="82"/>
        <v>#REF!</v>
      </c>
      <c r="CF53" s="189" t="e">
        <f t="shared" si="83"/>
        <v>#REF!</v>
      </c>
      <c r="CG53" s="189" t="e">
        <f t="shared" si="84"/>
        <v>#REF!</v>
      </c>
      <c r="CH53" s="213" t="e">
        <f t="shared" si="85"/>
        <v>#REF!</v>
      </c>
      <c r="CI53" s="173" t="e">
        <f t="shared" si="86"/>
        <v>#REF!</v>
      </c>
      <c r="CJ53" s="189"/>
      <c r="CK53" s="189">
        <f>VLOOKUP($B53,'Average RAS salary'!$A$5:$D$62,4,FALSE)</f>
        <v>53400.240026818625</v>
      </c>
      <c r="CL53" s="189" t="e">
        <f t="shared" si="87"/>
        <v>#REF!</v>
      </c>
      <c r="CM53" s="189" t="e">
        <f>IF($AY53&gt;VLOOKUP($B53,#REF!,19,FALSE)*$CK$65,VLOOKUP($B53,#REF!,19,FALSE)*$CK$65,$AY53)</f>
        <v>#REF!</v>
      </c>
      <c r="CN53" s="189" t="e">
        <f t="shared" si="88"/>
        <v>#REF!</v>
      </c>
      <c r="CO53" s="189" t="e">
        <f t="shared" si="89"/>
        <v>#REF!</v>
      </c>
      <c r="CP53" s="189" t="e">
        <f t="shared" si="90"/>
        <v>#REF!</v>
      </c>
      <c r="CQ53" s="189" t="e">
        <f t="shared" si="91"/>
        <v>#REF!</v>
      </c>
      <c r="CR53" s="213" t="e">
        <f t="shared" si="92"/>
        <v>#REF!</v>
      </c>
      <c r="CS53" s="173" t="e">
        <f t="shared" si="93"/>
        <v>#REF!</v>
      </c>
      <c r="CT53" s="1"/>
      <c r="CU53" s="254">
        <v>0.29901000030121649</v>
      </c>
      <c r="CV53" s="252">
        <v>18295.162151515149</v>
      </c>
      <c r="CW53" s="254">
        <v>0.2990100006417668</v>
      </c>
      <c r="CX53" s="255">
        <v>16782.187540540544</v>
      </c>
      <c r="CY53" s="190" t="e">
        <f>VLOOKUP($B53,#REF!,13,FALSE)</f>
        <v>#REF!</v>
      </c>
      <c r="CZ53" s="172" t="e">
        <f>VLOOKUP($B53,#REF!,14,FALSE)</f>
        <v>#REF!</v>
      </c>
      <c r="DA53" s="190" t="e">
        <f>VLOOKUP($B53,#REF!,15,FALSE)</f>
        <v>#REF!</v>
      </c>
      <c r="DB53" s="189" t="e">
        <f>VLOOKUP($B53,#REF!,16,FALSE)</f>
        <v>#REF!</v>
      </c>
      <c r="DC53" s="190" t="e">
        <f t="shared" si="94"/>
        <v>#REF!</v>
      </c>
      <c r="DD53" s="190" t="e">
        <f t="shared" si="95"/>
        <v>#REF!</v>
      </c>
      <c r="DE53" s="190" t="e">
        <f t="shared" si="96"/>
        <v>#REF!</v>
      </c>
      <c r="DF53" s="190" t="e">
        <f t="shared" si="97"/>
        <v>#REF!</v>
      </c>
      <c r="DG53" s="1"/>
      <c r="DH53" s="253" t="s">
        <v>272</v>
      </c>
      <c r="DI53" s="253">
        <v>0</v>
      </c>
      <c r="DJ53" s="173">
        <f t="shared" si="98"/>
        <v>0</v>
      </c>
      <c r="DK53" s="172" t="e">
        <f>IF(VLOOKUP($B53,#REF!,6,FALSE)="Y","Yes","")</f>
        <v>#REF!</v>
      </c>
      <c r="DL53" s="172" t="e">
        <f>VLOOKUP($B53,#REF!,4,FALSE)</f>
        <v>#REF!</v>
      </c>
      <c r="DM53" s="173" t="e">
        <f t="shared" si="148"/>
        <v>#REF!</v>
      </c>
      <c r="DN53" s="1"/>
      <c r="DO53" s="172">
        <f t="shared" si="99"/>
        <v>2991415.2271279641</v>
      </c>
      <c r="DP53" s="252">
        <v>2913180.342380973</v>
      </c>
      <c r="DQ53" s="172">
        <f t="shared" si="100"/>
        <v>-78234.884746991098</v>
      </c>
      <c r="DR53" s="173">
        <f t="shared" si="149"/>
        <v>-2.615313448882315E-2</v>
      </c>
      <c r="DS53" s="172">
        <f t="shared" si="101"/>
        <v>2913180.342380973</v>
      </c>
      <c r="DT53" s="252">
        <v>2958946.0188283739</v>
      </c>
      <c r="DU53" s="172">
        <f t="shared" si="102"/>
        <v>45765.676447400823</v>
      </c>
      <c r="DV53" s="173">
        <f t="shared" si="103"/>
        <v>1.5299004976764832E-2</v>
      </c>
      <c r="DW53" s="172">
        <f t="shared" si="104"/>
        <v>2958946.0188283739</v>
      </c>
      <c r="DX53" s="252">
        <v>2977175.419450582</v>
      </c>
      <c r="DY53" s="172">
        <f t="shared" si="105"/>
        <v>18229.400622208137</v>
      </c>
      <c r="DZ53" s="173">
        <f t="shared" si="106"/>
        <v>6.0939051379069334E-3</v>
      </c>
      <c r="EA53" s="172">
        <f t="shared" si="107"/>
        <v>2977175.419450582</v>
      </c>
      <c r="EB53" s="252">
        <v>2976920.9400300547</v>
      </c>
      <c r="EC53" s="172">
        <f t="shared" si="108"/>
        <v>-254.47942052735016</v>
      </c>
      <c r="ED53" s="173">
        <f t="shared" si="109"/>
        <v>-8.5069908790854821E-5</v>
      </c>
      <c r="EE53" s="172">
        <f t="shared" si="110"/>
        <v>2976920.9400300547</v>
      </c>
      <c r="EF53" s="252">
        <v>2998498.4216796863</v>
      </c>
      <c r="EG53" s="172">
        <f t="shared" si="111"/>
        <v>21577.481649631634</v>
      </c>
      <c r="EH53" s="173">
        <f t="shared" si="112"/>
        <v>7.2131349248857092E-3</v>
      </c>
      <c r="EI53" s="172">
        <f t="shared" si="113"/>
        <v>2998498.4216796863</v>
      </c>
      <c r="EJ53" s="252">
        <v>2991415.2271279641</v>
      </c>
      <c r="EK53" s="172">
        <f t="shared" si="114"/>
        <v>-7083.1945517221466</v>
      </c>
      <c r="EL53" s="173">
        <f t="shared" si="115"/>
        <v>-2.3678406419434688E-3</v>
      </c>
      <c r="EM53" s="172">
        <f t="shared" si="116"/>
        <v>0</v>
      </c>
      <c r="EN53" s="173">
        <f t="shared" si="150"/>
        <v>0</v>
      </c>
      <c r="EO53" s="214"/>
      <c r="EP53" s="273">
        <v>1572091.3619798392</v>
      </c>
      <c r="EQ53" s="273">
        <v>1526436.3979911564</v>
      </c>
      <c r="ER53" s="172">
        <f t="shared" si="117"/>
        <v>-45654.963988682721</v>
      </c>
      <c r="ES53" s="173">
        <f t="shared" si="18"/>
        <v>-2.9040910148622909E-2</v>
      </c>
      <c r="ET53" s="273">
        <v>1066246.5166642959</v>
      </c>
      <c r="EU53" s="273">
        <v>1034300.0637167727</v>
      </c>
      <c r="EV53" s="172">
        <f t="shared" si="118"/>
        <v>-31946.452947523212</v>
      </c>
      <c r="EW53" s="173">
        <f t="shared" si="19"/>
        <v>-2.9961601232204958E-2</v>
      </c>
      <c r="EX53" s="273">
        <v>691057.29</v>
      </c>
      <c r="EY53" s="273">
        <v>670116.16</v>
      </c>
      <c r="EZ53" s="172">
        <f t="shared" si="119"/>
        <v>-20941.130000000005</v>
      </c>
      <c r="FA53" s="173">
        <f t="shared" si="20"/>
        <v>-3.0303030303030307E-2</v>
      </c>
      <c r="FB53" s="172">
        <f t="shared" si="120"/>
        <v>1526436.3979911564</v>
      </c>
      <c r="FC53" s="273">
        <v>1559746.1204101488</v>
      </c>
      <c r="FD53" s="172">
        <f t="shared" si="121"/>
        <v>33309.722418992314</v>
      </c>
      <c r="FE53" s="173">
        <f t="shared" si="21"/>
        <v>2.18218868881986E-2</v>
      </c>
      <c r="FF53" s="172">
        <f t="shared" si="122"/>
        <v>1034300.0637167727</v>
      </c>
      <c r="FG53" s="273">
        <v>1044260.0038303212</v>
      </c>
      <c r="FH53" s="172">
        <f t="shared" si="123"/>
        <v>9959.9401135485386</v>
      </c>
      <c r="FI53" s="173">
        <f t="shared" si="22"/>
        <v>9.6296427535326121E-3</v>
      </c>
      <c r="FJ53" s="172">
        <f t="shared" si="124"/>
        <v>1559746.1204101488</v>
      </c>
      <c r="FK53" s="273">
        <v>1809514.5542759555</v>
      </c>
      <c r="FL53" s="172">
        <f t="shared" si="125"/>
        <v>249768.43386580679</v>
      </c>
      <c r="FM53" s="173">
        <f t="shared" si="23"/>
        <v>0.16013403117177044</v>
      </c>
      <c r="FN53" s="172">
        <f t="shared" si="126"/>
        <v>1044260.0038303212</v>
      </c>
      <c r="FO53" s="273">
        <v>1118943.2633366194</v>
      </c>
      <c r="FP53" s="172">
        <f t="shared" si="127"/>
        <v>74683.259506298113</v>
      </c>
      <c r="FQ53" s="173">
        <f t="shared" si="24"/>
        <v>7.1517877954112644E-2</v>
      </c>
      <c r="FR53" s="172">
        <f t="shared" si="128"/>
        <v>1118943.2633366194</v>
      </c>
      <c r="FS53" s="273">
        <v>1196653.6282528993</v>
      </c>
      <c r="FT53" s="172">
        <f t="shared" si="129"/>
        <v>77710.364916279912</v>
      </c>
      <c r="FU53" s="173">
        <f t="shared" si="25"/>
        <v>6.9449781291459248E-2</v>
      </c>
      <c r="FV53" s="172">
        <f t="shared" si="26"/>
        <v>670116.16</v>
      </c>
      <c r="FW53" s="273">
        <v>728187.52</v>
      </c>
      <c r="FX53" s="172">
        <f t="shared" si="130"/>
        <v>58071.359999999986</v>
      </c>
      <c r="FY53" s="173">
        <f t="shared" si="27"/>
        <v>8.6658647360481483E-2</v>
      </c>
      <c r="FZ53" s="214"/>
      <c r="GA53" s="172">
        <f t="shared" si="151"/>
        <v>1572091.3619798392</v>
      </c>
      <c r="GB53" s="172">
        <f t="shared" si="152"/>
        <v>-45654.963988682721</v>
      </c>
      <c r="GC53" s="172">
        <f t="shared" si="153"/>
        <v>33309.722418992314</v>
      </c>
      <c r="GD53" s="172">
        <f t="shared" si="154"/>
        <v>249768.43386580679</v>
      </c>
      <c r="GE53" s="172">
        <f t="shared" si="155"/>
        <v>237423.19229611638</v>
      </c>
      <c r="GF53" s="172">
        <f t="shared" si="156"/>
        <v>1809514.5542759555</v>
      </c>
      <c r="GG53" s="173">
        <f t="shared" si="157"/>
        <v>0.1510237878268815</v>
      </c>
      <c r="GH53" s="244"/>
      <c r="GI53" s="172">
        <f t="shared" si="158"/>
        <v>1066246.5166642959</v>
      </c>
      <c r="GJ53" s="172">
        <f t="shared" si="159"/>
        <v>-31946.452947523212</v>
      </c>
      <c r="GK53" s="172">
        <f t="shared" si="160"/>
        <v>9959.9401135485386</v>
      </c>
      <c r="GL53" s="172">
        <f t="shared" si="161"/>
        <v>74683.259506298113</v>
      </c>
      <c r="GM53" s="172">
        <f t="shared" si="162"/>
        <v>77710.364916279912</v>
      </c>
      <c r="GN53" s="172">
        <f t="shared" si="163"/>
        <v>130407.11158860335</v>
      </c>
      <c r="GO53" s="172">
        <f t="shared" si="164"/>
        <v>1196653.6282528993</v>
      </c>
      <c r="GP53" s="173">
        <f t="shared" si="165"/>
        <v>0.12230484184518239</v>
      </c>
      <c r="GQ53" s="214"/>
      <c r="GR53" s="172">
        <f t="shared" si="166"/>
        <v>691057.29</v>
      </c>
      <c r="GS53" s="172">
        <f t="shared" si="167"/>
        <v>-20941.130000000005</v>
      </c>
      <c r="GT53" s="172">
        <f t="shared" si="168"/>
        <v>58071.359999999986</v>
      </c>
      <c r="GU53" s="172">
        <f t="shared" si="131"/>
        <v>37130.229999999981</v>
      </c>
      <c r="GV53" s="172">
        <f t="shared" si="132"/>
        <v>728187.52</v>
      </c>
      <c r="GW53" s="173">
        <f t="shared" si="133"/>
        <v>5.3729597440466882E-2</v>
      </c>
      <c r="GX53" s="214"/>
      <c r="GY53" s="273">
        <v>-337979.9415161708</v>
      </c>
      <c r="GZ53" s="172" t="e">
        <f t="shared" si="134"/>
        <v>#REF!</v>
      </c>
      <c r="HA53" s="172" t="e">
        <f>-VLOOKUP($B53,#REF!,23,FALSE)</f>
        <v>#REF!</v>
      </c>
    </row>
    <row r="54" spans="1:209" ht="15" customHeight="1" x14ac:dyDescent="0.45">
      <c r="A54" s="148">
        <v>3</v>
      </c>
      <c r="B54" s="215" t="s">
        <v>48</v>
      </c>
      <c r="C54" s="172">
        <v>15704185.260466754</v>
      </c>
      <c r="D54" s="173">
        <f t="shared" si="0"/>
        <v>1.0901989906913342E-2</v>
      </c>
      <c r="E54" s="1"/>
      <c r="F54" s="252">
        <v>26100828.122745432</v>
      </c>
      <c r="G54" s="173">
        <f t="shared" si="1"/>
        <v>1.1106165858986704E-2</v>
      </c>
      <c r="H54" s="173">
        <f t="shared" si="46"/>
        <v>1.0187283196752812</v>
      </c>
      <c r="I54" s="172" t="e">
        <f>VLOOKUP($B54,#REF!,24,FALSE)</f>
        <v>#REF!</v>
      </c>
      <c r="J54" s="173" t="e">
        <f t="shared" si="136"/>
        <v>#REF!</v>
      </c>
      <c r="K54" s="173" t="e">
        <f t="shared" si="47"/>
        <v>#REF!</v>
      </c>
      <c r="L54" s="172" t="e">
        <f t="shared" si="48"/>
        <v>#REF!</v>
      </c>
      <c r="M54" s="173" t="e">
        <f t="shared" si="137"/>
        <v>#REF!</v>
      </c>
      <c r="N54" s="173" t="e">
        <f t="shared" si="50"/>
        <v>#REF!</v>
      </c>
      <c r="O54" s="176"/>
      <c r="P54" s="253">
        <v>210</v>
      </c>
      <c r="Q54" s="173">
        <f t="shared" si="138"/>
        <v>1.16809433752364E-2</v>
      </c>
      <c r="R54" s="172" t="e">
        <f>VLOOKUP($B54,#REF!,4,FALSE)</f>
        <v>#REF!</v>
      </c>
      <c r="S54" s="173" t="e">
        <f t="shared" si="139"/>
        <v>#REF!</v>
      </c>
      <c r="T54" s="172" t="e">
        <f t="shared" si="51"/>
        <v>#REF!</v>
      </c>
      <c r="U54" s="173" t="e">
        <f t="shared" si="52"/>
        <v>#REF!</v>
      </c>
      <c r="V54" s="173" t="e">
        <f t="shared" si="53"/>
        <v>#REF!</v>
      </c>
      <c r="W54" s="1"/>
      <c r="X54" s="189">
        <f>VLOOKUP($B54,'Average RAS salary'!$A$5:$D$62,4,FALSE)</f>
        <v>63950.494177058434</v>
      </c>
      <c r="Y54" s="253">
        <v>68844.534591983975</v>
      </c>
      <c r="Z54" s="252" t="s">
        <v>272</v>
      </c>
      <c r="AA54" s="252" t="s">
        <v>272</v>
      </c>
      <c r="AB54" s="173">
        <f t="shared" si="5"/>
        <v>1.1801404102706601</v>
      </c>
      <c r="AC54" s="172" t="e">
        <f>VLOOKUP($B54,#REF!,3,FALSE)</f>
        <v>#REF!</v>
      </c>
      <c r="AD54" s="172" t="e">
        <f>VLOOKUP($B54,#REF!,5,FALSE)</f>
        <v>#REF!</v>
      </c>
      <c r="AE54" s="172" t="e">
        <f>VLOOKUP($B54,#REF!,6,FALSE)</f>
        <v>#REF!</v>
      </c>
      <c r="AF54" s="173" t="e">
        <f t="shared" si="6"/>
        <v>#REF!</v>
      </c>
      <c r="AG54" s="172" t="e">
        <f t="shared" si="140"/>
        <v>#REF!</v>
      </c>
      <c r="AH54" s="173" t="e">
        <f t="shared" si="141"/>
        <v>#REF!</v>
      </c>
      <c r="AI54" s="173" t="e">
        <f t="shared" si="142"/>
        <v>#REF!</v>
      </c>
      <c r="AJ54" s="189">
        <v>58657.99023817596</v>
      </c>
      <c r="AK54" s="189">
        <f>VLOOKUP($B54,'Average RAS salary'!$A$5:$D$62,4,FALSE)</f>
        <v>63950.494177058434</v>
      </c>
      <c r="AL54" s="189">
        <f t="shared" si="55"/>
        <v>5292.5039388824734</v>
      </c>
      <c r="AM54" s="173">
        <f t="shared" si="56"/>
        <v>9.0226479246777722E-2</v>
      </c>
      <c r="AN54" s="189" t="e">
        <f t="shared" si="57"/>
        <v>#REF!</v>
      </c>
      <c r="AO54" s="189" t="e">
        <f t="shared" si="58"/>
        <v>#REF!</v>
      </c>
      <c r="AP54" s="189" t="e">
        <f t="shared" si="59"/>
        <v>#REF!</v>
      </c>
      <c r="AQ54" s="189" t="e">
        <f t="shared" si="135"/>
        <v>#REF!</v>
      </c>
      <c r="AR54" s="189" t="e">
        <f t="shared" si="60"/>
        <v>#REF!</v>
      </c>
      <c r="AS54" s="189" t="e">
        <f t="shared" si="143"/>
        <v>#REF!</v>
      </c>
      <c r="AT54" s="213" t="e">
        <f t="shared" si="61"/>
        <v>#REF!</v>
      </c>
      <c r="AU54" s="173" t="e">
        <f t="shared" si="62"/>
        <v>#REF!</v>
      </c>
      <c r="AV54" s="189"/>
      <c r="AW54" s="189">
        <f>VLOOKUP($B54,'Average RAS salary'!$A$5:$D$62,4,FALSE)</f>
        <v>63950.494177058434</v>
      </c>
      <c r="AX54" s="189" t="e">
        <f t="shared" si="144"/>
        <v>#REF!</v>
      </c>
      <c r="AY54" s="189">
        <v>62166.551535997613</v>
      </c>
      <c r="AZ54" s="189" t="e">
        <f t="shared" si="145"/>
        <v>#REF!</v>
      </c>
      <c r="BA54" s="189" t="e">
        <f t="shared" si="63"/>
        <v>#REF!</v>
      </c>
      <c r="BB54" s="189" t="e">
        <f t="shared" si="64"/>
        <v>#REF!</v>
      </c>
      <c r="BC54" s="189" t="e">
        <f t="shared" si="65"/>
        <v>#REF!</v>
      </c>
      <c r="BD54" s="213">
        <f t="shared" si="66"/>
        <v>-1783.9426410608212</v>
      </c>
      <c r="BE54" s="173">
        <f t="shared" si="169"/>
        <v>-2.7895681871068195E-2</v>
      </c>
      <c r="BF54" s="189"/>
      <c r="BG54" s="189">
        <f>VLOOKUP($B54,'Average RAS salary'!$A$5:$D$62,4,FALSE)</f>
        <v>63950.494177058434</v>
      </c>
      <c r="BH54" s="189" t="e">
        <f t="shared" si="68"/>
        <v>#REF!</v>
      </c>
      <c r="BI54" s="189" t="e">
        <f>$BG$65*#REF!</f>
        <v>#REF!</v>
      </c>
      <c r="BJ54" s="189" t="e">
        <f t="shared" si="69"/>
        <v>#REF!</v>
      </c>
      <c r="BK54" s="189" t="e">
        <f t="shared" si="146"/>
        <v>#REF!</v>
      </c>
      <c r="BL54" s="189" t="e">
        <f t="shared" si="147"/>
        <v>#REF!</v>
      </c>
      <c r="BM54" s="189" t="e">
        <f t="shared" si="70"/>
        <v>#REF!</v>
      </c>
      <c r="BN54" s="213" t="e">
        <f t="shared" si="71"/>
        <v>#REF!</v>
      </c>
      <c r="BO54" s="173" t="e">
        <f t="shared" si="72"/>
        <v>#REF!</v>
      </c>
      <c r="BP54" s="189"/>
      <c r="BQ54" s="189">
        <f>VLOOKUP($B54,'Average RAS salary'!$A$5:$D$62,4,FALSE)</f>
        <v>63950.494177058434</v>
      </c>
      <c r="BR54" s="189" t="e">
        <f t="shared" si="73"/>
        <v>#REF!</v>
      </c>
      <c r="BS54" s="189" t="e">
        <f>VLOOKUP($B54,#REF!,19,FALSE)*$BQ$65</f>
        <v>#REF!</v>
      </c>
      <c r="BT54" s="189" t="e">
        <f t="shared" si="74"/>
        <v>#REF!</v>
      </c>
      <c r="BU54" s="189" t="e">
        <f t="shared" si="75"/>
        <v>#REF!</v>
      </c>
      <c r="BV54" s="189" t="e">
        <f t="shared" si="76"/>
        <v>#REF!</v>
      </c>
      <c r="BW54" s="189" t="e">
        <f t="shared" si="77"/>
        <v>#REF!</v>
      </c>
      <c r="BX54" s="213" t="e">
        <f t="shared" si="78"/>
        <v>#REF!</v>
      </c>
      <c r="BY54" s="173" t="e">
        <f t="shared" si="79"/>
        <v>#REF!</v>
      </c>
      <c r="BZ54" s="189"/>
      <c r="CA54" s="189">
        <f>VLOOKUP($B54,'Average RAS salary'!$A$5:$D$62,4,FALSE)</f>
        <v>63950.494177058434</v>
      </c>
      <c r="CB54" s="189" t="e">
        <f t="shared" si="80"/>
        <v>#REF!</v>
      </c>
      <c r="CC54" s="189" t="e">
        <f>IF(VLOOKUP($B54,#REF!,7,FALSE)&gt;VLOOKUP($B54,#REF!,19,FALSE)*$CA$65,VLOOKUP($B54,#REF!,19,FALSE)*$CA$65,VLOOKUP($B54,#REF!,7,FALSE))</f>
        <v>#REF!</v>
      </c>
      <c r="CD54" s="189" t="e">
        <f t="shared" si="81"/>
        <v>#REF!</v>
      </c>
      <c r="CE54" s="189" t="e">
        <f t="shared" si="82"/>
        <v>#REF!</v>
      </c>
      <c r="CF54" s="189" t="e">
        <f t="shared" si="83"/>
        <v>#REF!</v>
      </c>
      <c r="CG54" s="189" t="e">
        <f t="shared" si="84"/>
        <v>#REF!</v>
      </c>
      <c r="CH54" s="213" t="e">
        <f t="shared" si="85"/>
        <v>#REF!</v>
      </c>
      <c r="CI54" s="173" t="e">
        <f t="shared" si="86"/>
        <v>#REF!</v>
      </c>
      <c r="CJ54" s="189"/>
      <c r="CK54" s="189">
        <f>VLOOKUP($B54,'Average RAS salary'!$A$5:$D$62,4,FALSE)</f>
        <v>63950.494177058434</v>
      </c>
      <c r="CL54" s="189" t="e">
        <f t="shared" si="87"/>
        <v>#REF!</v>
      </c>
      <c r="CM54" s="189" t="e">
        <f>IF($AY54&gt;VLOOKUP($B54,#REF!,19,FALSE)*$CK$65,VLOOKUP($B54,#REF!,19,FALSE)*$CK$65,$AY54)</f>
        <v>#REF!</v>
      </c>
      <c r="CN54" s="189" t="e">
        <f t="shared" si="88"/>
        <v>#REF!</v>
      </c>
      <c r="CO54" s="189" t="e">
        <f t="shared" si="89"/>
        <v>#REF!</v>
      </c>
      <c r="CP54" s="189" t="e">
        <f t="shared" si="90"/>
        <v>#REF!</v>
      </c>
      <c r="CQ54" s="189" t="e">
        <f t="shared" si="91"/>
        <v>#REF!</v>
      </c>
      <c r="CR54" s="213" t="e">
        <f t="shared" si="92"/>
        <v>#REF!</v>
      </c>
      <c r="CS54" s="173" t="e">
        <f t="shared" si="93"/>
        <v>#REF!</v>
      </c>
      <c r="CT54" s="1"/>
      <c r="CU54" s="254">
        <v>0.32580680432368642</v>
      </c>
      <c r="CV54" s="252">
        <v>13339.248730822865</v>
      </c>
      <c r="CW54" s="254">
        <v>0.3259286931848171</v>
      </c>
      <c r="CX54" s="255">
        <v>17536.765000000003</v>
      </c>
      <c r="CY54" s="190" t="e">
        <f>VLOOKUP($B54,#REF!,13,FALSE)</f>
        <v>#REF!</v>
      </c>
      <c r="CZ54" s="172" t="e">
        <f>VLOOKUP($B54,#REF!,14,FALSE)</f>
        <v>#REF!</v>
      </c>
      <c r="DA54" s="190" t="e">
        <f>VLOOKUP($B54,#REF!,15,FALSE)</f>
        <v>#REF!</v>
      </c>
      <c r="DB54" s="189" t="e">
        <f>VLOOKUP($B54,#REF!,16,FALSE)</f>
        <v>#REF!</v>
      </c>
      <c r="DC54" s="190" t="e">
        <f t="shared" si="94"/>
        <v>#REF!</v>
      </c>
      <c r="DD54" s="190" t="e">
        <f t="shared" si="95"/>
        <v>#REF!</v>
      </c>
      <c r="DE54" s="190" t="e">
        <f t="shared" si="96"/>
        <v>#REF!</v>
      </c>
      <c r="DF54" s="190" t="e">
        <f t="shared" si="97"/>
        <v>#REF!</v>
      </c>
      <c r="DG54" s="1"/>
      <c r="DH54" s="253" t="s">
        <v>272</v>
      </c>
      <c r="DI54" s="253">
        <v>0</v>
      </c>
      <c r="DJ54" s="173">
        <f t="shared" si="98"/>
        <v>0</v>
      </c>
      <c r="DK54" s="172" t="e">
        <f>IF(VLOOKUP($B54,#REF!,6,FALSE)="Y","Yes","")</f>
        <v>#REF!</v>
      </c>
      <c r="DL54" s="172" t="e">
        <f>VLOOKUP($B54,#REF!,4,FALSE)</f>
        <v>#REF!</v>
      </c>
      <c r="DM54" s="173" t="e">
        <f t="shared" si="148"/>
        <v>#REF!</v>
      </c>
      <c r="DN54" s="1"/>
      <c r="DO54" s="172">
        <f t="shared" si="99"/>
        <v>26100828.122745432</v>
      </c>
      <c r="DP54" s="252">
        <v>25668930.000271291</v>
      </c>
      <c r="DQ54" s="172">
        <f t="shared" si="100"/>
        <v>-431898.12247414142</v>
      </c>
      <c r="DR54" s="173">
        <f t="shared" si="149"/>
        <v>-1.6547295757936738E-2</v>
      </c>
      <c r="DS54" s="172">
        <f t="shared" si="101"/>
        <v>25668930.000271291</v>
      </c>
      <c r="DT54" s="252">
        <v>26166446.346903134</v>
      </c>
      <c r="DU54" s="172">
        <f t="shared" si="102"/>
        <v>497516.3466318436</v>
      </c>
      <c r="DV54" s="173">
        <f t="shared" si="103"/>
        <v>1.9061324196004554E-2</v>
      </c>
      <c r="DW54" s="172">
        <f t="shared" si="104"/>
        <v>26166446.346903134</v>
      </c>
      <c r="DX54" s="252">
        <v>25792408.998740315</v>
      </c>
      <c r="DY54" s="172">
        <f t="shared" si="105"/>
        <v>-374037.3481628187</v>
      </c>
      <c r="DZ54" s="173">
        <f t="shared" si="106"/>
        <v>-1.433047819034009E-2</v>
      </c>
      <c r="EA54" s="172">
        <f t="shared" si="107"/>
        <v>25792408.998740315</v>
      </c>
      <c r="EB54" s="252">
        <v>25964034.429365195</v>
      </c>
      <c r="EC54" s="172">
        <f t="shared" si="108"/>
        <v>171625.4306248799</v>
      </c>
      <c r="ED54" s="173">
        <f t="shared" si="109"/>
        <v>6.5754783648154748E-3</v>
      </c>
      <c r="EE54" s="172">
        <f t="shared" si="110"/>
        <v>25964034.429365195</v>
      </c>
      <c r="EF54" s="252">
        <v>26101345.676226489</v>
      </c>
      <c r="EG54" s="172">
        <f t="shared" si="111"/>
        <v>137311.24686129391</v>
      </c>
      <c r="EH54" s="173">
        <f t="shared" si="112"/>
        <v>5.260800393594973E-3</v>
      </c>
      <c r="EI54" s="172">
        <f t="shared" si="113"/>
        <v>26101345.676226489</v>
      </c>
      <c r="EJ54" s="252">
        <v>26100828.122745432</v>
      </c>
      <c r="EK54" s="172">
        <f t="shared" si="114"/>
        <v>-517.55348105728626</v>
      </c>
      <c r="EL54" s="173">
        <f t="shared" si="115"/>
        <v>-1.9829006138171798E-5</v>
      </c>
      <c r="EM54" s="172">
        <f t="shared" si="116"/>
        <v>0</v>
      </c>
      <c r="EN54" s="173">
        <f t="shared" si="150"/>
        <v>0</v>
      </c>
      <c r="EO54" s="214"/>
      <c r="EP54" s="273">
        <v>14614473.219475728</v>
      </c>
      <c r="EQ54" s="273">
        <v>14270250.546515808</v>
      </c>
      <c r="ER54" s="172">
        <f t="shared" si="117"/>
        <v>-344222.67295992002</v>
      </c>
      <c r="ES54" s="173">
        <f t="shared" si="18"/>
        <v>-2.3553546391340167E-2</v>
      </c>
      <c r="ET54" s="273">
        <v>7680521.6155091906</v>
      </c>
      <c r="EU54" s="273">
        <v>7501675.2828022465</v>
      </c>
      <c r="EV54" s="172">
        <f t="shared" si="118"/>
        <v>-178846.33270694409</v>
      </c>
      <c r="EW54" s="173">
        <f t="shared" si="19"/>
        <v>-2.3285701370308196E-2</v>
      </c>
      <c r="EX54" s="273">
        <v>4397637.3</v>
      </c>
      <c r="EY54" s="273">
        <v>4292931.6500000004</v>
      </c>
      <c r="EZ54" s="172">
        <f t="shared" si="119"/>
        <v>-104705.64999999944</v>
      </c>
      <c r="FA54" s="173">
        <f t="shared" si="20"/>
        <v>-2.3809523809523683E-2</v>
      </c>
      <c r="FB54" s="172">
        <f t="shared" si="120"/>
        <v>14270250.546515808</v>
      </c>
      <c r="FC54" s="273">
        <v>14556261.76596668</v>
      </c>
      <c r="FD54" s="172">
        <f t="shared" si="121"/>
        <v>286011.21945087239</v>
      </c>
      <c r="FE54" s="173">
        <f t="shared" si="21"/>
        <v>2.004248058004169E-2</v>
      </c>
      <c r="FF54" s="172">
        <f t="shared" si="122"/>
        <v>7501675.2828022465</v>
      </c>
      <c r="FG54" s="273">
        <v>7594865.0683756201</v>
      </c>
      <c r="FH54" s="172">
        <f t="shared" si="123"/>
        <v>93189.785573373549</v>
      </c>
      <c r="FI54" s="173">
        <f t="shared" si="22"/>
        <v>1.2422529909687395E-2</v>
      </c>
      <c r="FJ54" s="172">
        <f t="shared" si="124"/>
        <v>14556261.76596668</v>
      </c>
      <c r="FK54" s="273">
        <v>14485168.730637312</v>
      </c>
      <c r="FL54" s="172">
        <f t="shared" si="125"/>
        <v>-71093.035329367965</v>
      </c>
      <c r="FM54" s="173">
        <f t="shared" si="23"/>
        <v>-4.8840173715196094E-3</v>
      </c>
      <c r="FN54" s="172">
        <f t="shared" si="126"/>
        <v>7594865.0683756201</v>
      </c>
      <c r="FO54" s="273">
        <v>7571701.2063513445</v>
      </c>
      <c r="FP54" s="172">
        <f t="shared" si="127"/>
        <v>-23163.862024275586</v>
      </c>
      <c r="FQ54" s="173">
        <f t="shared" si="24"/>
        <v>-3.0499372688960547E-3</v>
      </c>
      <c r="FR54" s="172">
        <f t="shared" si="128"/>
        <v>7571701.2063513445</v>
      </c>
      <c r="FS54" s="273">
        <v>7967982.2164053954</v>
      </c>
      <c r="FT54" s="172">
        <f t="shared" si="129"/>
        <v>396281.01005405094</v>
      </c>
      <c r="FU54" s="173">
        <f t="shared" si="25"/>
        <v>5.2337116752789965E-2</v>
      </c>
      <c r="FV54" s="172">
        <f t="shared" si="26"/>
        <v>4292931.6500000004</v>
      </c>
      <c r="FW54" s="273">
        <v>4664951.3</v>
      </c>
      <c r="FX54" s="172">
        <f t="shared" si="130"/>
        <v>372019.64999999944</v>
      </c>
      <c r="FY54" s="173">
        <f t="shared" si="27"/>
        <v>8.6658647360481358E-2</v>
      </c>
      <c r="FZ54" s="214"/>
      <c r="GA54" s="172">
        <f t="shared" si="151"/>
        <v>14614473.219475728</v>
      </c>
      <c r="GB54" s="172">
        <f t="shared" si="152"/>
        <v>-344222.67295992002</v>
      </c>
      <c r="GC54" s="172">
        <f t="shared" si="153"/>
        <v>286011.21945087239</v>
      </c>
      <c r="GD54" s="172">
        <f t="shared" si="154"/>
        <v>-71093.035329367965</v>
      </c>
      <c r="GE54" s="172">
        <f t="shared" si="155"/>
        <v>-129304.48883841559</v>
      </c>
      <c r="GF54" s="172">
        <f t="shared" si="156"/>
        <v>14485168.730637312</v>
      </c>
      <c r="GG54" s="173">
        <f t="shared" si="157"/>
        <v>-8.8477009671549551E-3</v>
      </c>
      <c r="GH54" s="244"/>
      <c r="GI54" s="172">
        <f t="shared" si="158"/>
        <v>7680521.6155091906</v>
      </c>
      <c r="GJ54" s="172">
        <f t="shared" si="159"/>
        <v>-178846.33270694409</v>
      </c>
      <c r="GK54" s="172">
        <f t="shared" si="160"/>
        <v>93189.785573373549</v>
      </c>
      <c r="GL54" s="172">
        <f t="shared" si="161"/>
        <v>-23163.862024275586</v>
      </c>
      <c r="GM54" s="172">
        <f t="shared" si="162"/>
        <v>396281.01005405094</v>
      </c>
      <c r="GN54" s="172">
        <f t="shared" si="163"/>
        <v>287460.60089620482</v>
      </c>
      <c r="GO54" s="172">
        <f t="shared" si="164"/>
        <v>7967982.2164053954</v>
      </c>
      <c r="GP54" s="173">
        <f t="shared" si="165"/>
        <v>3.7427223733833247E-2</v>
      </c>
      <c r="GQ54" s="214"/>
      <c r="GR54" s="172">
        <f t="shared" si="166"/>
        <v>4397637.3</v>
      </c>
      <c r="GS54" s="172">
        <f t="shared" si="167"/>
        <v>-104705.64999999944</v>
      </c>
      <c r="GT54" s="172">
        <f t="shared" si="168"/>
        <v>372019.64999999944</v>
      </c>
      <c r="GU54" s="172">
        <f t="shared" si="131"/>
        <v>267314</v>
      </c>
      <c r="GV54" s="172">
        <f t="shared" si="132"/>
        <v>4664951.3</v>
      </c>
      <c r="GW54" s="173">
        <f t="shared" si="133"/>
        <v>6.0785822423327182E-2</v>
      </c>
      <c r="GX54" s="214"/>
      <c r="GY54" s="273">
        <v>-591804.0122394854</v>
      </c>
      <c r="GZ54" s="172" t="e">
        <f t="shared" si="134"/>
        <v>#REF!</v>
      </c>
      <c r="HA54" s="172" t="e">
        <f>-VLOOKUP($B54,#REF!,23,FALSE)</f>
        <v>#REF!</v>
      </c>
    </row>
    <row r="55" spans="1:209" ht="15" customHeight="1" x14ac:dyDescent="0.45">
      <c r="A55" s="148">
        <v>3</v>
      </c>
      <c r="B55" s="212" t="s">
        <v>49</v>
      </c>
      <c r="C55" s="172">
        <v>18845882.726300068</v>
      </c>
      <c r="D55" s="173">
        <f t="shared" si="0"/>
        <v>1.3082985195431229E-2</v>
      </c>
      <c r="E55" s="1"/>
      <c r="F55" s="252">
        <v>29031342.880036999</v>
      </c>
      <c r="G55" s="173">
        <f t="shared" si="1"/>
        <v>1.2353129472310743E-2</v>
      </c>
      <c r="H55" s="173">
        <f t="shared" si="46"/>
        <v>0.94421336474680395</v>
      </c>
      <c r="I55" s="172" t="e">
        <f>VLOOKUP($B55,#REF!,24,FALSE)</f>
        <v>#REF!</v>
      </c>
      <c r="J55" s="173" t="e">
        <f t="shared" si="136"/>
        <v>#REF!</v>
      </c>
      <c r="K55" s="173" t="e">
        <f t="shared" si="47"/>
        <v>#REF!</v>
      </c>
      <c r="L55" s="172" t="e">
        <f t="shared" si="48"/>
        <v>#REF!</v>
      </c>
      <c r="M55" s="173" t="e">
        <f t="shared" si="137"/>
        <v>#REF!</v>
      </c>
      <c r="N55" s="173" t="e">
        <f t="shared" si="50"/>
        <v>#REF!</v>
      </c>
      <c r="O55" s="176"/>
      <c r="P55" s="253">
        <v>218</v>
      </c>
      <c r="Q55" s="173">
        <f t="shared" si="138"/>
        <v>1.2125931694293025E-2</v>
      </c>
      <c r="R55" s="172" t="e">
        <f>VLOOKUP($B55,#REF!,4,FALSE)</f>
        <v>#REF!</v>
      </c>
      <c r="S55" s="173" t="e">
        <f t="shared" si="139"/>
        <v>#REF!</v>
      </c>
      <c r="T55" s="172" t="e">
        <f t="shared" si="51"/>
        <v>#REF!</v>
      </c>
      <c r="U55" s="173" t="e">
        <f t="shared" si="52"/>
        <v>#REF!</v>
      </c>
      <c r="V55" s="173" t="e">
        <f t="shared" si="53"/>
        <v>#REF!</v>
      </c>
      <c r="W55" s="1"/>
      <c r="X55" s="189">
        <f>VLOOKUP($B55,'Average RAS salary'!$A$5:$D$62,4,FALSE)</f>
        <v>67579.195740006122</v>
      </c>
      <c r="Y55" s="253">
        <v>65792.177451760828</v>
      </c>
      <c r="Z55" s="252" t="s">
        <v>272</v>
      </c>
      <c r="AA55" s="252" t="s">
        <v>272</v>
      </c>
      <c r="AB55" s="173">
        <f t="shared" si="5"/>
        <v>1.1278165761550765</v>
      </c>
      <c r="AC55" s="172" t="e">
        <f>VLOOKUP($B55,#REF!,3,FALSE)</f>
        <v>#REF!</v>
      </c>
      <c r="AD55" s="172" t="e">
        <f>VLOOKUP($B55,#REF!,5,FALSE)</f>
        <v>#REF!</v>
      </c>
      <c r="AE55" s="172" t="e">
        <f>VLOOKUP($B55,#REF!,6,FALSE)</f>
        <v>#REF!</v>
      </c>
      <c r="AF55" s="173" t="e">
        <f t="shared" si="6"/>
        <v>#REF!</v>
      </c>
      <c r="AG55" s="172" t="e">
        <f t="shared" si="140"/>
        <v>#REF!</v>
      </c>
      <c r="AH55" s="173" t="e">
        <f t="shared" si="141"/>
        <v>#REF!</v>
      </c>
      <c r="AI55" s="173" t="e">
        <f t="shared" si="142"/>
        <v>#REF!</v>
      </c>
      <c r="AJ55" s="189">
        <v>66394.782241138499</v>
      </c>
      <c r="AK55" s="189">
        <f>VLOOKUP($B55,'Average RAS salary'!$A$5:$D$62,4,FALSE)</f>
        <v>67579.195740006122</v>
      </c>
      <c r="AL55" s="189">
        <f t="shared" si="55"/>
        <v>1184.4134988676233</v>
      </c>
      <c r="AM55" s="173">
        <f t="shared" si="56"/>
        <v>1.7838954491423205E-2</v>
      </c>
      <c r="AN55" s="189" t="e">
        <f t="shared" si="57"/>
        <v>#REF!</v>
      </c>
      <c r="AO55" s="189" t="e">
        <f t="shared" si="58"/>
        <v>#REF!</v>
      </c>
      <c r="AP55" s="189" t="e">
        <f t="shared" si="59"/>
        <v>#REF!</v>
      </c>
      <c r="AQ55" s="189" t="e">
        <f t="shared" si="135"/>
        <v>#REF!</v>
      </c>
      <c r="AR55" s="189" t="e">
        <f t="shared" si="60"/>
        <v>#REF!</v>
      </c>
      <c r="AS55" s="189" t="e">
        <f t="shared" si="143"/>
        <v>#REF!</v>
      </c>
      <c r="AT55" s="213" t="e">
        <f t="shared" si="61"/>
        <v>#REF!</v>
      </c>
      <c r="AU55" s="173" t="e">
        <f t="shared" si="62"/>
        <v>#REF!</v>
      </c>
      <c r="AV55" s="189"/>
      <c r="AW55" s="189">
        <f>VLOOKUP($B55,'Average RAS salary'!$A$5:$D$62,4,FALSE)</f>
        <v>67579.195740006122</v>
      </c>
      <c r="AX55" s="189" t="e">
        <f t="shared" si="144"/>
        <v>#REF!</v>
      </c>
      <c r="AY55" s="189">
        <v>60265.310862179089</v>
      </c>
      <c r="AZ55" s="189" t="e">
        <f t="shared" si="145"/>
        <v>#REF!</v>
      </c>
      <c r="BA55" s="189" t="e">
        <f t="shared" si="63"/>
        <v>#REF!</v>
      </c>
      <c r="BB55" s="189" t="e">
        <f t="shared" si="64"/>
        <v>#REF!</v>
      </c>
      <c r="BC55" s="189" t="e">
        <f t="shared" si="65"/>
        <v>#REF!</v>
      </c>
      <c r="BD55" s="213">
        <f t="shared" si="66"/>
        <v>-7313.8848778270331</v>
      </c>
      <c r="BE55" s="173">
        <f t="shared" si="169"/>
        <v>-0.10822687067726224</v>
      </c>
      <c r="BF55" s="189"/>
      <c r="BG55" s="189">
        <f>VLOOKUP($B55,'Average RAS salary'!$A$5:$D$62,4,FALSE)</f>
        <v>67579.195740006122</v>
      </c>
      <c r="BH55" s="189" t="e">
        <f t="shared" si="68"/>
        <v>#REF!</v>
      </c>
      <c r="BI55" s="189" t="e">
        <f>$BG$65*#REF!</f>
        <v>#REF!</v>
      </c>
      <c r="BJ55" s="189" t="e">
        <f t="shared" si="69"/>
        <v>#REF!</v>
      </c>
      <c r="BK55" s="189" t="e">
        <f t="shared" si="146"/>
        <v>#REF!</v>
      </c>
      <c r="BL55" s="189" t="e">
        <f t="shared" si="147"/>
        <v>#REF!</v>
      </c>
      <c r="BM55" s="189" t="e">
        <f t="shared" si="70"/>
        <v>#REF!</v>
      </c>
      <c r="BN55" s="213" t="e">
        <f t="shared" si="71"/>
        <v>#REF!</v>
      </c>
      <c r="BO55" s="173" t="e">
        <f t="shared" si="72"/>
        <v>#REF!</v>
      </c>
      <c r="BP55" s="189"/>
      <c r="BQ55" s="189">
        <f>VLOOKUP($B55,'Average RAS salary'!$A$5:$D$62,4,FALSE)</f>
        <v>67579.195740006122</v>
      </c>
      <c r="BR55" s="189" t="e">
        <f t="shared" si="73"/>
        <v>#REF!</v>
      </c>
      <c r="BS55" s="189" t="e">
        <f>VLOOKUP($B55,#REF!,19,FALSE)*$BQ$65</f>
        <v>#REF!</v>
      </c>
      <c r="BT55" s="189" t="e">
        <f t="shared" si="74"/>
        <v>#REF!</v>
      </c>
      <c r="BU55" s="189" t="e">
        <f t="shared" si="75"/>
        <v>#REF!</v>
      </c>
      <c r="BV55" s="189" t="e">
        <f t="shared" si="76"/>
        <v>#REF!</v>
      </c>
      <c r="BW55" s="189" t="e">
        <f t="shared" si="77"/>
        <v>#REF!</v>
      </c>
      <c r="BX55" s="213" t="e">
        <f t="shared" si="78"/>
        <v>#REF!</v>
      </c>
      <c r="BY55" s="173" t="e">
        <f t="shared" si="79"/>
        <v>#REF!</v>
      </c>
      <c r="BZ55" s="189"/>
      <c r="CA55" s="189">
        <f>VLOOKUP($B55,'Average RAS salary'!$A$5:$D$62,4,FALSE)</f>
        <v>67579.195740006122</v>
      </c>
      <c r="CB55" s="189" t="e">
        <f t="shared" si="80"/>
        <v>#REF!</v>
      </c>
      <c r="CC55" s="189" t="e">
        <f>IF(VLOOKUP($B55,#REF!,7,FALSE)&gt;VLOOKUP($B55,#REF!,19,FALSE)*$CA$65,VLOOKUP($B55,#REF!,19,FALSE)*$CA$65,VLOOKUP($B55,#REF!,7,FALSE))</f>
        <v>#REF!</v>
      </c>
      <c r="CD55" s="189" t="e">
        <f t="shared" si="81"/>
        <v>#REF!</v>
      </c>
      <c r="CE55" s="189" t="e">
        <f t="shared" si="82"/>
        <v>#REF!</v>
      </c>
      <c r="CF55" s="189" t="e">
        <f t="shared" si="83"/>
        <v>#REF!</v>
      </c>
      <c r="CG55" s="189" t="e">
        <f t="shared" si="84"/>
        <v>#REF!</v>
      </c>
      <c r="CH55" s="213" t="e">
        <f t="shared" si="85"/>
        <v>#REF!</v>
      </c>
      <c r="CI55" s="173" t="e">
        <f t="shared" si="86"/>
        <v>#REF!</v>
      </c>
      <c r="CJ55" s="189"/>
      <c r="CK55" s="189">
        <f>VLOOKUP($B55,'Average RAS salary'!$A$5:$D$62,4,FALSE)</f>
        <v>67579.195740006122</v>
      </c>
      <c r="CL55" s="189" t="e">
        <f t="shared" si="87"/>
        <v>#REF!</v>
      </c>
      <c r="CM55" s="189" t="e">
        <f>IF($AY55&gt;VLOOKUP($B55,#REF!,19,FALSE)*$CK$65,VLOOKUP($B55,#REF!,19,FALSE)*$CK$65,$AY55)</f>
        <v>#REF!</v>
      </c>
      <c r="CN55" s="189" t="e">
        <f t="shared" si="88"/>
        <v>#REF!</v>
      </c>
      <c r="CO55" s="189" t="e">
        <f t="shared" si="89"/>
        <v>#REF!</v>
      </c>
      <c r="CP55" s="189" t="e">
        <f t="shared" si="90"/>
        <v>#REF!</v>
      </c>
      <c r="CQ55" s="189" t="e">
        <f t="shared" si="91"/>
        <v>#REF!</v>
      </c>
      <c r="CR55" s="213" t="e">
        <f t="shared" si="92"/>
        <v>#REF!</v>
      </c>
      <c r="CS55" s="173" t="e">
        <f t="shared" si="93"/>
        <v>#REF!</v>
      </c>
      <c r="CT55" s="1"/>
      <c r="CU55" s="254">
        <v>0.43554241030125479</v>
      </c>
      <c r="CV55" s="252">
        <v>19771.73517389605</v>
      </c>
      <c r="CW55" s="254">
        <v>0.43647107136083779</v>
      </c>
      <c r="CX55" s="255">
        <v>20096.861499999999</v>
      </c>
      <c r="CY55" s="190" t="e">
        <f>VLOOKUP($B55,#REF!,13,FALSE)</f>
        <v>#REF!</v>
      </c>
      <c r="CZ55" s="172" t="e">
        <f>VLOOKUP($B55,#REF!,14,FALSE)</f>
        <v>#REF!</v>
      </c>
      <c r="DA55" s="190" t="e">
        <f>VLOOKUP($B55,#REF!,15,FALSE)</f>
        <v>#REF!</v>
      </c>
      <c r="DB55" s="189" t="e">
        <f>VLOOKUP($B55,#REF!,16,FALSE)</f>
        <v>#REF!</v>
      </c>
      <c r="DC55" s="190" t="e">
        <f t="shared" si="94"/>
        <v>#REF!</v>
      </c>
      <c r="DD55" s="190" t="e">
        <f t="shared" si="95"/>
        <v>#REF!</v>
      </c>
      <c r="DE55" s="190" t="e">
        <f t="shared" si="96"/>
        <v>#REF!</v>
      </c>
      <c r="DF55" s="190" t="e">
        <f t="shared" si="97"/>
        <v>#REF!</v>
      </c>
      <c r="DG55" s="1"/>
      <c r="DH55" s="253" t="s">
        <v>272</v>
      </c>
      <c r="DI55" s="253">
        <v>0</v>
      </c>
      <c r="DJ55" s="173">
        <f t="shared" si="98"/>
        <v>0</v>
      </c>
      <c r="DK55" s="172" t="e">
        <f>IF(VLOOKUP($B55,#REF!,6,FALSE)="Y","Yes","")</f>
        <v>#REF!</v>
      </c>
      <c r="DL55" s="172" t="e">
        <f>VLOOKUP($B55,#REF!,4,FALSE)</f>
        <v>#REF!</v>
      </c>
      <c r="DM55" s="173" t="e">
        <f t="shared" si="148"/>
        <v>#REF!</v>
      </c>
      <c r="DN55" s="1"/>
      <c r="DO55" s="172">
        <f t="shared" si="99"/>
        <v>29031342.880036999</v>
      </c>
      <c r="DP55" s="252">
        <v>29110607.035903521</v>
      </c>
      <c r="DQ55" s="172">
        <f t="shared" si="100"/>
        <v>79264.155866522342</v>
      </c>
      <c r="DR55" s="173">
        <f t="shared" si="149"/>
        <v>2.7302958803544441E-3</v>
      </c>
      <c r="DS55" s="172">
        <f t="shared" si="101"/>
        <v>29110607.035903521</v>
      </c>
      <c r="DT55" s="252">
        <v>29653635.753235839</v>
      </c>
      <c r="DU55" s="172">
        <f t="shared" si="102"/>
        <v>543028.71733231843</v>
      </c>
      <c r="DV55" s="173">
        <f t="shared" si="103"/>
        <v>1.8704912121227591E-2</v>
      </c>
      <c r="DW55" s="172">
        <f t="shared" si="104"/>
        <v>29653635.753235839</v>
      </c>
      <c r="DX55" s="252">
        <v>28945749.863326423</v>
      </c>
      <c r="DY55" s="172">
        <f t="shared" si="105"/>
        <v>-707885.88990941644</v>
      </c>
      <c r="DZ55" s="173">
        <f t="shared" si="106"/>
        <v>-2.4383504849725169E-2</v>
      </c>
      <c r="EA55" s="172">
        <f t="shared" si="107"/>
        <v>28945749.863326423</v>
      </c>
      <c r="EB55" s="252">
        <v>28863089.606757145</v>
      </c>
      <c r="EC55" s="172">
        <f t="shared" si="108"/>
        <v>-82660.256569277495</v>
      </c>
      <c r="ED55" s="173">
        <f t="shared" si="109"/>
        <v>-2.8472763699166556E-3</v>
      </c>
      <c r="EE55" s="172">
        <f t="shared" si="110"/>
        <v>28863089.606757145</v>
      </c>
      <c r="EF55" s="252">
        <v>29005631.758260772</v>
      </c>
      <c r="EG55" s="172">
        <f t="shared" si="111"/>
        <v>142542.15150362626</v>
      </c>
      <c r="EH55" s="173">
        <f t="shared" si="112"/>
        <v>4.9099399945995402E-3</v>
      </c>
      <c r="EI55" s="172">
        <f t="shared" si="113"/>
        <v>29005631.758260772</v>
      </c>
      <c r="EJ55" s="252">
        <v>29031342.880036999</v>
      </c>
      <c r="EK55" s="172">
        <f t="shared" si="114"/>
        <v>25711.121776226908</v>
      </c>
      <c r="EL55" s="173">
        <f t="shared" si="115"/>
        <v>8.8563322346024871E-4</v>
      </c>
      <c r="EM55" s="172">
        <f t="shared" si="116"/>
        <v>0</v>
      </c>
      <c r="EN55" s="173">
        <f t="shared" si="150"/>
        <v>0</v>
      </c>
      <c r="EO55" s="214"/>
      <c r="EP55" s="273">
        <v>14492849.374677973</v>
      </c>
      <c r="EQ55" s="273">
        <v>14098096.309967408</v>
      </c>
      <c r="ER55" s="172">
        <f t="shared" si="117"/>
        <v>-394753.06471056491</v>
      </c>
      <c r="ES55" s="173">
        <f t="shared" si="18"/>
        <v>-2.7237781509016491E-2</v>
      </c>
      <c r="ET55" s="273">
        <v>10634601.233242499</v>
      </c>
      <c r="EU55" s="273">
        <v>10344039.120921275</v>
      </c>
      <c r="EV55" s="172">
        <f t="shared" si="118"/>
        <v>-290562.11232122406</v>
      </c>
      <c r="EW55" s="173">
        <f t="shared" si="19"/>
        <v>-2.7322332633682726E-2</v>
      </c>
      <c r="EX55" s="273">
        <v>4565166.34</v>
      </c>
      <c r="EY55" s="273">
        <v>4439519.5600000005</v>
      </c>
      <c r="EZ55" s="172">
        <f t="shared" si="119"/>
        <v>-125646.77999999933</v>
      </c>
      <c r="FA55" s="173">
        <f t="shared" si="20"/>
        <v>-2.7522935779816366E-2</v>
      </c>
      <c r="FB55" s="172">
        <f t="shared" si="120"/>
        <v>14098096.309967408</v>
      </c>
      <c r="FC55" s="273">
        <v>14380566.847540677</v>
      </c>
      <c r="FD55" s="172">
        <f t="shared" si="121"/>
        <v>282470.53757326864</v>
      </c>
      <c r="FE55" s="173">
        <f t="shared" si="21"/>
        <v>2.0036076599473995E-2</v>
      </c>
      <c r="FF55" s="172">
        <f t="shared" si="122"/>
        <v>10344039.120921275</v>
      </c>
      <c r="FG55" s="273">
        <v>10467109.860189948</v>
      </c>
      <c r="FH55" s="172">
        <f t="shared" si="123"/>
        <v>123070.73926867358</v>
      </c>
      <c r="FI55" s="173">
        <f t="shared" si="22"/>
        <v>1.1897744955329644E-2</v>
      </c>
      <c r="FJ55" s="172">
        <f t="shared" si="124"/>
        <v>14380566.847540677</v>
      </c>
      <c r="FK55" s="273">
        <v>14263926.115304135</v>
      </c>
      <c r="FL55" s="172">
        <f t="shared" si="125"/>
        <v>-116640.73223654181</v>
      </c>
      <c r="FM55" s="173">
        <f t="shared" si="23"/>
        <v>-8.1109968385209633E-3</v>
      </c>
      <c r="FN55" s="172">
        <f t="shared" si="126"/>
        <v>10467109.860189948</v>
      </c>
      <c r="FO55" s="273">
        <v>10416291.033337552</v>
      </c>
      <c r="FP55" s="172">
        <f t="shared" si="127"/>
        <v>-50818.826852396131</v>
      </c>
      <c r="FQ55" s="173">
        <f t="shared" si="24"/>
        <v>-4.8550963476248366E-3</v>
      </c>
      <c r="FR55" s="172">
        <f t="shared" si="128"/>
        <v>10416291.033337552</v>
      </c>
      <c r="FS55" s="273">
        <v>10372679.047303945</v>
      </c>
      <c r="FT55" s="172">
        <f t="shared" si="129"/>
        <v>-43611.986033607274</v>
      </c>
      <c r="FU55" s="173">
        <f t="shared" si="25"/>
        <v>-4.1869016422473437E-3</v>
      </c>
      <c r="FV55" s="172">
        <f t="shared" si="26"/>
        <v>4439519.5600000005</v>
      </c>
      <c r="FW55" s="273">
        <v>4824242.32</v>
      </c>
      <c r="FX55" s="172">
        <f t="shared" si="130"/>
        <v>384722.75999999978</v>
      </c>
      <c r="FY55" s="173">
        <f t="shared" si="27"/>
        <v>8.6658647360481442E-2</v>
      </c>
      <c r="FZ55" s="214"/>
      <c r="GA55" s="172">
        <f t="shared" si="151"/>
        <v>14492849.374677973</v>
      </c>
      <c r="GB55" s="172">
        <f t="shared" si="152"/>
        <v>-394753.06471056491</v>
      </c>
      <c r="GC55" s="172">
        <f t="shared" si="153"/>
        <v>282470.53757326864</v>
      </c>
      <c r="GD55" s="172">
        <f t="shared" si="154"/>
        <v>-116640.73223654181</v>
      </c>
      <c r="GE55" s="172">
        <f t="shared" si="155"/>
        <v>-228923.25937383808</v>
      </c>
      <c r="GF55" s="172">
        <f t="shared" si="156"/>
        <v>14263926.115304135</v>
      </c>
      <c r="GG55" s="173">
        <f t="shared" si="157"/>
        <v>-1.5795600537587502E-2</v>
      </c>
      <c r="GH55" s="244"/>
      <c r="GI55" s="172">
        <f t="shared" si="158"/>
        <v>10634601.233242499</v>
      </c>
      <c r="GJ55" s="172">
        <f t="shared" si="159"/>
        <v>-290562.11232122406</v>
      </c>
      <c r="GK55" s="172">
        <f t="shared" si="160"/>
        <v>123070.73926867358</v>
      </c>
      <c r="GL55" s="172">
        <f t="shared" si="161"/>
        <v>-50818.826852396131</v>
      </c>
      <c r="GM55" s="172">
        <f t="shared" si="162"/>
        <v>-43611.986033607274</v>
      </c>
      <c r="GN55" s="172">
        <f t="shared" si="163"/>
        <v>-261922.18593855388</v>
      </c>
      <c r="GO55" s="172">
        <f t="shared" si="164"/>
        <v>10372679.047303945</v>
      </c>
      <c r="GP55" s="173">
        <f t="shared" si="165"/>
        <v>-2.4629243748210915E-2</v>
      </c>
      <c r="GQ55" s="214"/>
      <c r="GR55" s="172">
        <f t="shared" si="166"/>
        <v>4565166.34</v>
      </c>
      <c r="GS55" s="172">
        <f t="shared" si="167"/>
        <v>-125646.77999999933</v>
      </c>
      <c r="GT55" s="172">
        <f t="shared" si="168"/>
        <v>384722.75999999978</v>
      </c>
      <c r="GU55" s="172">
        <f t="shared" si="131"/>
        <v>259075.98000000045</v>
      </c>
      <c r="GV55" s="172">
        <f t="shared" si="132"/>
        <v>4824242.32</v>
      </c>
      <c r="GW55" s="173">
        <f t="shared" si="133"/>
        <v>5.6750611194596789E-2</v>
      </c>
      <c r="GX55" s="214"/>
      <c r="GY55" s="273">
        <v>-661274.06788347126</v>
      </c>
      <c r="GZ55" s="172" t="e">
        <f t="shared" si="134"/>
        <v>#REF!</v>
      </c>
      <c r="HA55" s="172" t="e">
        <f>-VLOOKUP($B55,#REF!,23,FALSE)</f>
        <v>#REF!</v>
      </c>
    </row>
    <row r="56" spans="1:209" ht="15" customHeight="1" x14ac:dyDescent="0.45">
      <c r="A56" s="148">
        <v>3</v>
      </c>
      <c r="B56" s="215" t="s">
        <v>50</v>
      </c>
      <c r="C56" s="172">
        <v>15497803.25615637</v>
      </c>
      <c r="D56" s="173">
        <f t="shared" si="0"/>
        <v>1.0758717620536005E-2</v>
      </c>
      <c r="E56" s="1"/>
      <c r="F56" s="252">
        <v>31329379.831801441</v>
      </c>
      <c r="G56" s="173">
        <f t="shared" si="1"/>
        <v>1.3330967394400838E-2</v>
      </c>
      <c r="H56" s="173">
        <f t="shared" si="46"/>
        <v>1.2390851646626526</v>
      </c>
      <c r="I56" s="172" t="e">
        <f>VLOOKUP($B56,#REF!,24,FALSE)</f>
        <v>#REF!</v>
      </c>
      <c r="J56" s="173" t="e">
        <f t="shared" si="136"/>
        <v>#REF!</v>
      </c>
      <c r="K56" s="173" t="e">
        <f t="shared" si="47"/>
        <v>#REF!</v>
      </c>
      <c r="L56" s="172" t="e">
        <f t="shared" si="48"/>
        <v>#REF!</v>
      </c>
      <c r="M56" s="173" t="e">
        <f t="shared" si="137"/>
        <v>#REF!</v>
      </c>
      <c r="N56" s="173" t="e">
        <f t="shared" si="50"/>
        <v>#REF!</v>
      </c>
      <c r="O56" s="176"/>
      <c r="P56" s="253">
        <v>278</v>
      </c>
      <c r="Q56" s="173">
        <f t="shared" si="138"/>
        <v>1.5463344087217711E-2</v>
      </c>
      <c r="R56" s="172" t="e">
        <f>VLOOKUP($B56,#REF!,4,FALSE)</f>
        <v>#REF!</v>
      </c>
      <c r="S56" s="173" t="e">
        <f t="shared" si="139"/>
        <v>#REF!</v>
      </c>
      <c r="T56" s="172" t="e">
        <f t="shared" si="51"/>
        <v>#REF!</v>
      </c>
      <c r="U56" s="173" t="e">
        <f t="shared" si="52"/>
        <v>#REF!</v>
      </c>
      <c r="V56" s="173" t="e">
        <f t="shared" si="53"/>
        <v>#REF!</v>
      </c>
      <c r="W56" s="1"/>
      <c r="X56" s="189">
        <f>VLOOKUP($B56,'Average RAS salary'!$A$5:$D$62,4,FALSE)</f>
        <v>54299.136476106745</v>
      </c>
      <c r="Y56" s="253">
        <v>59037.424662538171</v>
      </c>
      <c r="Z56" s="252" t="s">
        <v>272</v>
      </c>
      <c r="AA56" s="252" t="s">
        <v>272</v>
      </c>
      <c r="AB56" s="173">
        <f t="shared" si="5"/>
        <v>1.0120258779508606</v>
      </c>
      <c r="AC56" s="172" t="e">
        <f>VLOOKUP($B56,#REF!,3,FALSE)</f>
        <v>#REF!</v>
      </c>
      <c r="AD56" s="172" t="e">
        <f>VLOOKUP($B56,#REF!,5,FALSE)</f>
        <v>#REF!</v>
      </c>
      <c r="AE56" s="172" t="e">
        <f>VLOOKUP($B56,#REF!,6,FALSE)</f>
        <v>#REF!</v>
      </c>
      <c r="AF56" s="173" t="e">
        <f t="shared" si="6"/>
        <v>#REF!</v>
      </c>
      <c r="AG56" s="172" t="e">
        <f t="shared" si="140"/>
        <v>#REF!</v>
      </c>
      <c r="AH56" s="173" t="e">
        <f t="shared" si="141"/>
        <v>#REF!</v>
      </c>
      <c r="AI56" s="173" t="e">
        <f t="shared" si="142"/>
        <v>#REF!</v>
      </c>
      <c r="AJ56" s="189">
        <v>52247.235505050507</v>
      </c>
      <c r="AK56" s="189">
        <f>VLOOKUP($B56,'Average RAS salary'!$A$5:$D$62,4,FALSE)</f>
        <v>54299.136476106745</v>
      </c>
      <c r="AL56" s="189">
        <f t="shared" si="55"/>
        <v>2051.9009710562386</v>
      </c>
      <c r="AM56" s="173">
        <f t="shared" si="56"/>
        <v>3.927290987210013E-2</v>
      </c>
      <c r="AN56" s="189" t="e">
        <f t="shared" si="57"/>
        <v>#REF!</v>
      </c>
      <c r="AO56" s="189" t="e">
        <f t="shared" si="58"/>
        <v>#REF!</v>
      </c>
      <c r="AP56" s="189" t="e">
        <f t="shared" si="59"/>
        <v>#REF!</v>
      </c>
      <c r="AQ56" s="189" t="e">
        <f t="shared" si="135"/>
        <v>#REF!</v>
      </c>
      <c r="AR56" s="189" t="e">
        <f t="shared" si="60"/>
        <v>#REF!</v>
      </c>
      <c r="AS56" s="189" t="e">
        <f t="shared" si="143"/>
        <v>#REF!</v>
      </c>
      <c r="AT56" s="213" t="e">
        <f t="shared" si="61"/>
        <v>#REF!</v>
      </c>
      <c r="AU56" s="173" t="e">
        <f t="shared" si="62"/>
        <v>#REF!</v>
      </c>
      <c r="AV56" s="189"/>
      <c r="AW56" s="189">
        <f>VLOOKUP($B56,'Average RAS salary'!$A$5:$D$62,4,FALSE)</f>
        <v>54299.136476106745</v>
      </c>
      <c r="AX56" s="189" t="e">
        <f t="shared" si="144"/>
        <v>#REF!</v>
      </c>
      <c r="AY56" s="189">
        <v>52524.290335365666</v>
      </c>
      <c r="AZ56" s="189" t="e">
        <f t="shared" si="145"/>
        <v>#REF!</v>
      </c>
      <c r="BA56" s="189" t="e">
        <f t="shared" si="63"/>
        <v>#REF!</v>
      </c>
      <c r="BB56" s="189" t="e">
        <f t="shared" si="64"/>
        <v>#REF!</v>
      </c>
      <c r="BC56" s="189" t="e">
        <f t="shared" si="65"/>
        <v>#REF!</v>
      </c>
      <c r="BD56" s="213">
        <f t="shared" si="66"/>
        <v>-1774.8461407410796</v>
      </c>
      <c r="BE56" s="173">
        <f t="shared" si="169"/>
        <v>-3.2686452417564051E-2</v>
      </c>
      <c r="BF56" s="189"/>
      <c r="BG56" s="189">
        <f>VLOOKUP($B56,'Average RAS salary'!$A$5:$D$62,4,FALSE)</f>
        <v>54299.136476106745</v>
      </c>
      <c r="BH56" s="189" t="e">
        <f t="shared" si="68"/>
        <v>#REF!</v>
      </c>
      <c r="BI56" s="189" t="e">
        <f>$BG$65*#REF!</f>
        <v>#REF!</v>
      </c>
      <c r="BJ56" s="189" t="e">
        <f t="shared" si="69"/>
        <v>#REF!</v>
      </c>
      <c r="BK56" s="189" t="e">
        <f t="shared" si="146"/>
        <v>#REF!</v>
      </c>
      <c r="BL56" s="189" t="e">
        <f t="shared" si="147"/>
        <v>#REF!</v>
      </c>
      <c r="BM56" s="189" t="e">
        <f t="shared" si="70"/>
        <v>#REF!</v>
      </c>
      <c r="BN56" s="213" t="e">
        <f t="shared" si="71"/>
        <v>#REF!</v>
      </c>
      <c r="BO56" s="173" t="e">
        <f t="shared" si="72"/>
        <v>#REF!</v>
      </c>
      <c r="BP56" s="189"/>
      <c r="BQ56" s="189">
        <f>VLOOKUP($B56,'Average RAS salary'!$A$5:$D$62,4,FALSE)</f>
        <v>54299.136476106745</v>
      </c>
      <c r="BR56" s="189" t="e">
        <f t="shared" si="73"/>
        <v>#REF!</v>
      </c>
      <c r="BS56" s="189" t="e">
        <f>VLOOKUP($B56,#REF!,19,FALSE)*$BQ$65</f>
        <v>#REF!</v>
      </c>
      <c r="BT56" s="189" t="e">
        <f t="shared" si="74"/>
        <v>#REF!</v>
      </c>
      <c r="BU56" s="189" t="e">
        <f t="shared" si="75"/>
        <v>#REF!</v>
      </c>
      <c r="BV56" s="189" t="e">
        <f t="shared" si="76"/>
        <v>#REF!</v>
      </c>
      <c r="BW56" s="189" t="e">
        <f t="shared" si="77"/>
        <v>#REF!</v>
      </c>
      <c r="BX56" s="213" t="e">
        <f t="shared" si="78"/>
        <v>#REF!</v>
      </c>
      <c r="BY56" s="173" t="e">
        <f t="shared" si="79"/>
        <v>#REF!</v>
      </c>
      <c r="BZ56" s="189"/>
      <c r="CA56" s="189">
        <f>VLOOKUP($B56,'Average RAS salary'!$A$5:$D$62,4,FALSE)</f>
        <v>54299.136476106745</v>
      </c>
      <c r="CB56" s="189" t="e">
        <f t="shared" si="80"/>
        <v>#REF!</v>
      </c>
      <c r="CC56" s="189" t="e">
        <f>IF(VLOOKUP($B56,#REF!,7,FALSE)&gt;VLOOKUP($B56,#REF!,19,FALSE)*$CA$65,VLOOKUP($B56,#REF!,19,FALSE)*$CA$65,VLOOKUP($B56,#REF!,7,FALSE))</f>
        <v>#REF!</v>
      </c>
      <c r="CD56" s="189" t="e">
        <f t="shared" si="81"/>
        <v>#REF!</v>
      </c>
      <c r="CE56" s="189" t="e">
        <f t="shared" si="82"/>
        <v>#REF!</v>
      </c>
      <c r="CF56" s="189" t="e">
        <f t="shared" si="83"/>
        <v>#REF!</v>
      </c>
      <c r="CG56" s="189" t="e">
        <f t="shared" si="84"/>
        <v>#REF!</v>
      </c>
      <c r="CH56" s="213" t="e">
        <f t="shared" si="85"/>
        <v>#REF!</v>
      </c>
      <c r="CI56" s="173" t="e">
        <f t="shared" si="86"/>
        <v>#REF!</v>
      </c>
      <c r="CJ56" s="189"/>
      <c r="CK56" s="189">
        <f>VLOOKUP($B56,'Average RAS salary'!$A$5:$D$62,4,FALSE)</f>
        <v>54299.136476106745</v>
      </c>
      <c r="CL56" s="189" t="e">
        <f t="shared" si="87"/>
        <v>#REF!</v>
      </c>
      <c r="CM56" s="189" t="e">
        <f>IF($AY56&gt;VLOOKUP($B56,#REF!,19,FALSE)*$CK$65,VLOOKUP($B56,#REF!,19,FALSE)*$CK$65,$AY56)</f>
        <v>#REF!</v>
      </c>
      <c r="CN56" s="189" t="e">
        <f t="shared" si="88"/>
        <v>#REF!</v>
      </c>
      <c r="CO56" s="189" t="e">
        <f t="shared" si="89"/>
        <v>#REF!</v>
      </c>
      <c r="CP56" s="189" t="e">
        <f t="shared" si="90"/>
        <v>#REF!</v>
      </c>
      <c r="CQ56" s="189" t="e">
        <f t="shared" si="91"/>
        <v>#REF!</v>
      </c>
      <c r="CR56" s="213" t="e">
        <f t="shared" si="92"/>
        <v>#REF!</v>
      </c>
      <c r="CS56" s="173" t="e">
        <f t="shared" si="93"/>
        <v>#REF!</v>
      </c>
      <c r="CT56" s="1"/>
      <c r="CU56" s="254">
        <v>0.29043575381975123</v>
      </c>
      <c r="CV56" s="252">
        <v>18520.54054054054</v>
      </c>
      <c r="CW56" s="254">
        <v>0.28847538310275139</v>
      </c>
      <c r="CX56" s="255">
        <v>19429.987290969904</v>
      </c>
      <c r="CY56" s="190" t="e">
        <f>VLOOKUP($B56,#REF!,13,FALSE)</f>
        <v>#REF!</v>
      </c>
      <c r="CZ56" s="172" t="e">
        <f>VLOOKUP($B56,#REF!,14,FALSE)</f>
        <v>#REF!</v>
      </c>
      <c r="DA56" s="190" t="e">
        <f>VLOOKUP($B56,#REF!,15,FALSE)</f>
        <v>#REF!</v>
      </c>
      <c r="DB56" s="189" t="e">
        <f>VLOOKUP($B56,#REF!,16,FALSE)</f>
        <v>#REF!</v>
      </c>
      <c r="DC56" s="190" t="e">
        <f t="shared" si="94"/>
        <v>#REF!</v>
      </c>
      <c r="DD56" s="190" t="e">
        <f t="shared" si="95"/>
        <v>#REF!</v>
      </c>
      <c r="DE56" s="190" t="e">
        <f t="shared" si="96"/>
        <v>#REF!</v>
      </c>
      <c r="DF56" s="190" t="e">
        <f t="shared" si="97"/>
        <v>#REF!</v>
      </c>
      <c r="DG56" s="1"/>
      <c r="DH56" s="253" t="s">
        <v>272</v>
      </c>
      <c r="DI56" s="253">
        <v>0</v>
      </c>
      <c r="DJ56" s="173">
        <f t="shared" si="98"/>
        <v>0</v>
      </c>
      <c r="DK56" s="172" t="e">
        <f>IF(VLOOKUP($B56,#REF!,6,FALSE)="Y","Yes","")</f>
        <v>#REF!</v>
      </c>
      <c r="DL56" s="172" t="e">
        <f>VLOOKUP($B56,#REF!,4,FALSE)</f>
        <v>#REF!</v>
      </c>
      <c r="DM56" s="173" t="e">
        <f t="shared" si="148"/>
        <v>#REF!</v>
      </c>
      <c r="DN56" s="1"/>
      <c r="DO56" s="172">
        <f t="shared" si="99"/>
        <v>31329379.831801441</v>
      </c>
      <c r="DP56" s="252">
        <v>30522502.323034745</v>
      </c>
      <c r="DQ56" s="172">
        <f t="shared" si="100"/>
        <v>-806877.50876669586</v>
      </c>
      <c r="DR56" s="173">
        <f t="shared" si="149"/>
        <v>-2.5754659463372478E-2</v>
      </c>
      <c r="DS56" s="172">
        <f t="shared" si="101"/>
        <v>30522502.323034745</v>
      </c>
      <c r="DT56" s="252">
        <v>31061862.710540067</v>
      </c>
      <c r="DU56" s="172">
        <f t="shared" si="102"/>
        <v>539360.38750532269</v>
      </c>
      <c r="DV56" s="173">
        <f t="shared" si="103"/>
        <v>1.7215801602233932E-2</v>
      </c>
      <c r="DW56" s="172">
        <f t="shared" si="104"/>
        <v>31061862.710540067</v>
      </c>
      <c r="DX56" s="252">
        <v>30969515.390730646</v>
      </c>
      <c r="DY56" s="172">
        <f t="shared" si="105"/>
        <v>-92347.319809421897</v>
      </c>
      <c r="DZ56" s="173">
        <f t="shared" si="106"/>
        <v>-2.9476268060589926E-3</v>
      </c>
      <c r="EA56" s="172">
        <f t="shared" si="107"/>
        <v>30969515.390730646</v>
      </c>
      <c r="EB56" s="252">
        <v>31155570.989132892</v>
      </c>
      <c r="EC56" s="172">
        <f t="shared" si="108"/>
        <v>186055.59840224683</v>
      </c>
      <c r="ED56" s="173">
        <f t="shared" si="109"/>
        <v>5.9386939480170564E-3</v>
      </c>
      <c r="EE56" s="172">
        <f t="shared" si="110"/>
        <v>31155570.989132892</v>
      </c>
      <c r="EF56" s="252">
        <v>31337344.925454032</v>
      </c>
      <c r="EG56" s="172">
        <f t="shared" si="111"/>
        <v>181773.93632113934</v>
      </c>
      <c r="EH56" s="173">
        <f t="shared" si="112"/>
        <v>5.8020279142782932E-3</v>
      </c>
      <c r="EI56" s="172">
        <f t="shared" si="113"/>
        <v>31337344.925454032</v>
      </c>
      <c r="EJ56" s="252">
        <v>31329379.831801441</v>
      </c>
      <c r="EK56" s="172">
        <f t="shared" si="114"/>
        <v>-7965.0936525911093</v>
      </c>
      <c r="EL56" s="173">
        <f t="shared" si="115"/>
        <v>-2.542371950978104E-4</v>
      </c>
      <c r="EM56" s="172">
        <f t="shared" si="116"/>
        <v>0</v>
      </c>
      <c r="EN56" s="173">
        <f t="shared" si="150"/>
        <v>0</v>
      </c>
      <c r="EO56" s="214"/>
      <c r="EP56" s="273">
        <v>16547142.661190154</v>
      </c>
      <c r="EQ56" s="273">
        <v>15956768.414564773</v>
      </c>
      <c r="ER56" s="172">
        <f t="shared" si="117"/>
        <v>-590374.24662538059</v>
      </c>
      <c r="ES56" s="173">
        <f t="shared" si="18"/>
        <v>-3.5678319738552247E-2</v>
      </c>
      <c r="ET56" s="273">
        <v>9984489.0224730223</v>
      </c>
      <c r="EU56" s="273">
        <v>9626230.404689379</v>
      </c>
      <c r="EV56" s="172">
        <f t="shared" si="118"/>
        <v>-358258.61778364331</v>
      </c>
      <c r="EW56" s="173">
        <f t="shared" si="19"/>
        <v>-3.5881517519552292E-2</v>
      </c>
      <c r="EX56" s="273">
        <v>5821634.1400000006</v>
      </c>
      <c r="EY56" s="273">
        <v>5612222.8399999999</v>
      </c>
      <c r="EZ56" s="172">
        <f t="shared" si="119"/>
        <v>-209411.30000000075</v>
      </c>
      <c r="FA56" s="173">
        <f t="shared" si="20"/>
        <v>-3.5971223021582857E-2</v>
      </c>
      <c r="FB56" s="172">
        <f t="shared" si="120"/>
        <v>15956768.414564773</v>
      </c>
      <c r="FC56" s="273">
        <v>16275852.503678489</v>
      </c>
      <c r="FD56" s="172">
        <f t="shared" si="121"/>
        <v>319084.08911371604</v>
      </c>
      <c r="FE56" s="173">
        <f t="shared" si="21"/>
        <v>1.9996786368251567E-2</v>
      </c>
      <c r="FF56" s="172">
        <f t="shared" si="122"/>
        <v>9626230.404689379</v>
      </c>
      <c r="FG56" s="273">
        <v>9718811.1979653575</v>
      </c>
      <c r="FH56" s="172">
        <f t="shared" si="123"/>
        <v>92580.793275978416</v>
      </c>
      <c r="FI56" s="173">
        <f t="shared" si="22"/>
        <v>9.6175542641154799E-3</v>
      </c>
      <c r="FJ56" s="172">
        <f t="shared" si="124"/>
        <v>16275852.503678489</v>
      </c>
      <c r="FK56" s="273">
        <v>16274532.623157624</v>
      </c>
      <c r="FL56" s="172">
        <f t="shared" si="125"/>
        <v>-1319.8805208653212</v>
      </c>
      <c r="FM56" s="173">
        <f t="shared" si="23"/>
        <v>-8.1094401695211741E-5</v>
      </c>
      <c r="FN56" s="172">
        <f t="shared" si="126"/>
        <v>9718811.1979653575</v>
      </c>
      <c r="FO56" s="273">
        <v>9718428.2242808379</v>
      </c>
      <c r="FP56" s="172">
        <f t="shared" si="127"/>
        <v>-382.97368451952934</v>
      </c>
      <c r="FQ56" s="173">
        <f t="shared" si="24"/>
        <v>-3.9405404294684238E-5</v>
      </c>
      <c r="FR56" s="172">
        <f t="shared" si="128"/>
        <v>9718428.2242808379</v>
      </c>
      <c r="FS56" s="273">
        <v>9685887.0687431563</v>
      </c>
      <c r="FT56" s="172">
        <f t="shared" si="129"/>
        <v>-32541.155537681654</v>
      </c>
      <c r="FU56" s="173">
        <f t="shared" si="25"/>
        <v>-3.3483969615971201E-3</v>
      </c>
      <c r="FV56" s="172">
        <f t="shared" si="26"/>
        <v>5612222.8399999999</v>
      </c>
      <c r="FW56" s="273">
        <v>6098570.4800000004</v>
      </c>
      <c r="FX56" s="172">
        <f t="shared" si="130"/>
        <v>486347.6400000006</v>
      </c>
      <c r="FY56" s="173">
        <f t="shared" si="27"/>
        <v>8.6658647360481608E-2</v>
      </c>
      <c r="FZ56" s="214"/>
      <c r="GA56" s="172">
        <f t="shared" si="151"/>
        <v>16547142.661190154</v>
      </c>
      <c r="GB56" s="172">
        <f t="shared" si="152"/>
        <v>-590374.24662538059</v>
      </c>
      <c r="GC56" s="172">
        <f t="shared" si="153"/>
        <v>319084.08911371604</v>
      </c>
      <c r="GD56" s="172">
        <f t="shared" si="154"/>
        <v>-1319.8805208653212</v>
      </c>
      <c r="GE56" s="172">
        <f t="shared" si="155"/>
        <v>-272610.03803252988</v>
      </c>
      <c r="GF56" s="172">
        <f t="shared" si="156"/>
        <v>16274532.623157624</v>
      </c>
      <c r="GG56" s="173">
        <f t="shared" si="157"/>
        <v>-1.647474996827775E-2</v>
      </c>
      <c r="GH56" s="244"/>
      <c r="GI56" s="172">
        <f t="shared" si="158"/>
        <v>9984489.0224730223</v>
      </c>
      <c r="GJ56" s="172">
        <f t="shared" si="159"/>
        <v>-358258.61778364331</v>
      </c>
      <c r="GK56" s="172">
        <f t="shared" si="160"/>
        <v>92580.793275978416</v>
      </c>
      <c r="GL56" s="172">
        <f t="shared" si="161"/>
        <v>-382.97368451952934</v>
      </c>
      <c r="GM56" s="172">
        <f t="shared" si="162"/>
        <v>-32541.155537681654</v>
      </c>
      <c r="GN56" s="172">
        <f t="shared" si="163"/>
        <v>-298601.95372986607</v>
      </c>
      <c r="GO56" s="172">
        <f t="shared" si="164"/>
        <v>9685887.0687431563</v>
      </c>
      <c r="GP56" s="173">
        <f t="shared" si="165"/>
        <v>-2.9906583407300541E-2</v>
      </c>
      <c r="GQ56" s="214"/>
      <c r="GR56" s="172">
        <f t="shared" si="166"/>
        <v>5821634.1400000006</v>
      </c>
      <c r="GS56" s="172">
        <f t="shared" si="167"/>
        <v>-209411.30000000075</v>
      </c>
      <c r="GT56" s="172">
        <f t="shared" si="168"/>
        <v>486347.6400000006</v>
      </c>
      <c r="GU56" s="172">
        <f t="shared" si="131"/>
        <v>276936.33999999985</v>
      </c>
      <c r="GV56" s="172">
        <f t="shared" si="132"/>
        <v>6098570.4800000004</v>
      </c>
      <c r="GW56" s="173">
        <f t="shared" si="133"/>
        <v>4.7570206807946165E-2</v>
      </c>
      <c r="GX56" s="214"/>
      <c r="GY56" s="273">
        <v>-1023885.9918617328</v>
      </c>
      <c r="GZ56" s="172" t="e">
        <f t="shared" si="134"/>
        <v>#REF!</v>
      </c>
      <c r="HA56" s="172" t="e">
        <f>-VLOOKUP($B56,#REF!,23,FALSE)</f>
        <v>#REF!</v>
      </c>
    </row>
    <row r="57" spans="1:209" ht="15" customHeight="1" x14ac:dyDescent="0.45">
      <c r="A57" s="148">
        <v>2</v>
      </c>
      <c r="B57" s="215" t="s">
        <v>36</v>
      </c>
      <c r="C57" s="172">
        <v>3403045.1469792882</v>
      </c>
      <c r="D57" s="173">
        <f t="shared" si="0"/>
        <v>2.3624252535107931E-3</v>
      </c>
      <c r="E57" s="1"/>
      <c r="F57" s="252">
        <v>6790525.1432320569</v>
      </c>
      <c r="G57" s="173">
        <f t="shared" si="1"/>
        <v>2.8894370000710125E-3</v>
      </c>
      <c r="H57" s="173">
        <f t="shared" si="46"/>
        <v>1.2230808131503965</v>
      </c>
      <c r="I57" s="172" t="e">
        <f>VLOOKUP($B57,#REF!,24,FALSE)</f>
        <v>#REF!</v>
      </c>
      <c r="J57" s="173" t="e">
        <f t="shared" si="136"/>
        <v>#REF!</v>
      </c>
      <c r="K57" s="173" t="e">
        <f t="shared" si="47"/>
        <v>#REF!</v>
      </c>
      <c r="L57" s="172" t="e">
        <f t="shared" si="48"/>
        <v>#REF!</v>
      </c>
      <c r="M57" s="173" t="e">
        <f t="shared" si="137"/>
        <v>#REF!</v>
      </c>
      <c r="N57" s="173" t="e">
        <f t="shared" si="50"/>
        <v>#REF!</v>
      </c>
      <c r="O57" s="176"/>
      <c r="P57" s="253">
        <v>63</v>
      </c>
      <c r="Q57" s="173">
        <f t="shared" si="138"/>
        <v>3.50428301257092E-3</v>
      </c>
      <c r="R57" s="172" t="e">
        <f>VLOOKUP($B57,#REF!,4,FALSE)</f>
        <v>#REF!</v>
      </c>
      <c r="S57" s="173" t="e">
        <f t="shared" si="139"/>
        <v>#REF!</v>
      </c>
      <c r="T57" s="172" t="e">
        <f t="shared" si="51"/>
        <v>#REF!</v>
      </c>
      <c r="U57" s="173" t="e">
        <f t="shared" si="52"/>
        <v>#REF!</v>
      </c>
      <c r="V57" s="173" t="e">
        <f t="shared" si="53"/>
        <v>#REF!</v>
      </c>
      <c r="W57" s="1"/>
      <c r="X57" s="189">
        <f>VLOOKUP($B57,'Average RAS salary'!$A$5:$D$62,4,FALSE)</f>
        <v>51334.67078189303</v>
      </c>
      <c r="Y57" s="253">
        <v>55879.066664036465</v>
      </c>
      <c r="Z57" s="252" t="s">
        <v>272</v>
      </c>
      <c r="AA57" s="252" t="s">
        <v>272</v>
      </c>
      <c r="AB57" s="173">
        <f t="shared" si="5"/>
        <v>0.95788496573141169</v>
      </c>
      <c r="AC57" s="172" t="e">
        <f>VLOOKUP($B57,#REF!,3,FALSE)</f>
        <v>#REF!</v>
      </c>
      <c r="AD57" s="172" t="e">
        <f>VLOOKUP($B57,#REF!,5,FALSE)</f>
        <v>#REF!</v>
      </c>
      <c r="AE57" s="172" t="e">
        <f>VLOOKUP($B57,#REF!,6,FALSE)</f>
        <v>#REF!</v>
      </c>
      <c r="AF57" s="173" t="e">
        <f t="shared" si="6"/>
        <v>#REF!</v>
      </c>
      <c r="AG57" s="172" t="e">
        <f t="shared" si="140"/>
        <v>#REF!</v>
      </c>
      <c r="AH57" s="173" t="e">
        <f t="shared" si="141"/>
        <v>#REF!</v>
      </c>
      <c r="AI57" s="173" t="e">
        <f t="shared" si="142"/>
        <v>#REF!</v>
      </c>
      <c r="AJ57" s="189">
        <v>49264.960096735173</v>
      </c>
      <c r="AK57" s="189">
        <f>VLOOKUP($B57,'Average RAS salary'!$A$5:$D$62,4,FALSE)</f>
        <v>51334.67078189303</v>
      </c>
      <c r="AL57" s="189">
        <f t="shared" si="55"/>
        <v>2069.7106851578574</v>
      </c>
      <c r="AM57" s="173">
        <f t="shared" si="56"/>
        <v>4.2011821000034033E-2</v>
      </c>
      <c r="AN57" s="189" t="e">
        <f t="shared" si="57"/>
        <v>#REF!</v>
      </c>
      <c r="AO57" s="189" t="e">
        <f t="shared" si="58"/>
        <v>#REF!</v>
      </c>
      <c r="AP57" s="189" t="e">
        <f t="shared" si="59"/>
        <v>#REF!</v>
      </c>
      <c r="AQ57" s="189" t="e">
        <f t="shared" si="135"/>
        <v>#REF!</v>
      </c>
      <c r="AR57" s="189" t="e">
        <f t="shared" si="60"/>
        <v>#REF!</v>
      </c>
      <c r="AS57" s="189" t="e">
        <f t="shared" si="143"/>
        <v>#REF!</v>
      </c>
      <c r="AT57" s="213" t="e">
        <f t="shared" si="61"/>
        <v>#REF!</v>
      </c>
      <c r="AU57" s="173" t="e">
        <f t="shared" si="62"/>
        <v>#REF!</v>
      </c>
      <c r="AV57" s="189"/>
      <c r="AW57" s="189">
        <f>VLOOKUP($B57,'Average RAS salary'!$A$5:$D$62,4,FALSE)</f>
        <v>51334.67078189303</v>
      </c>
      <c r="AX57" s="189" t="e">
        <f t="shared" si="144"/>
        <v>#REF!</v>
      </c>
      <c r="AY57" s="189">
        <v>49308.784032876822</v>
      </c>
      <c r="AZ57" s="189" t="e">
        <f t="shared" si="145"/>
        <v>#REF!</v>
      </c>
      <c r="BA57" s="189" t="e">
        <f t="shared" si="63"/>
        <v>#REF!</v>
      </c>
      <c r="BB57" s="189" t="e">
        <f t="shared" si="64"/>
        <v>#REF!</v>
      </c>
      <c r="BC57" s="189" t="e">
        <f t="shared" si="65"/>
        <v>#REF!</v>
      </c>
      <c r="BD57" s="213">
        <f t="shared" si="66"/>
        <v>-2025.8867490162083</v>
      </c>
      <c r="BE57" s="173">
        <f t="shared" si="169"/>
        <v>-3.9464298069109019E-2</v>
      </c>
      <c r="BF57" s="189"/>
      <c r="BG57" s="189">
        <f>VLOOKUP($B57,'Average RAS salary'!$A$5:$D$62,4,FALSE)</f>
        <v>51334.67078189303</v>
      </c>
      <c r="BH57" s="189" t="e">
        <f t="shared" si="68"/>
        <v>#REF!</v>
      </c>
      <c r="BI57" s="189" t="e">
        <f>$BG$65*#REF!</f>
        <v>#REF!</v>
      </c>
      <c r="BJ57" s="189" t="e">
        <f t="shared" si="69"/>
        <v>#REF!</v>
      </c>
      <c r="BK57" s="189" t="e">
        <f t="shared" si="146"/>
        <v>#REF!</v>
      </c>
      <c r="BL57" s="189" t="e">
        <f t="shared" si="147"/>
        <v>#REF!</v>
      </c>
      <c r="BM57" s="189" t="e">
        <f t="shared" si="70"/>
        <v>#REF!</v>
      </c>
      <c r="BN57" s="213" t="e">
        <f t="shared" si="71"/>
        <v>#REF!</v>
      </c>
      <c r="BO57" s="173" t="e">
        <f t="shared" si="72"/>
        <v>#REF!</v>
      </c>
      <c r="BP57" s="189"/>
      <c r="BQ57" s="189">
        <f>VLOOKUP($B57,'Average RAS salary'!$A$5:$D$62,4,FALSE)</f>
        <v>51334.67078189303</v>
      </c>
      <c r="BR57" s="189" t="e">
        <f t="shared" si="73"/>
        <v>#REF!</v>
      </c>
      <c r="BS57" s="189" t="e">
        <f>VLOOKUP($B57,#REF!,19,FALSE)*$BQ$65</f>
        <v>#REF!</v>
      </c>
      <c r="BT57" s="189" t="e">
        <f t="shared" si="74"/>
        <v>#REF!</v>
      </c>
      <c r="BU57" s="189" t="e">
        <f t="shared" si="75"/>
        <v>#REF!</v>
      </c>
      <c r="BV57" s="189" t="e">
        <f t="shared" si="76"/>
        <v>#REF!</v>
      </c>
      <c r="BW57" s="189" t="e">
        <f t="shared" si="77"/>
        <v>#REF!</v>
      </c>
      <c r="BX57" s="213" t="e">
        <f t="shared" si="78"/>
        <v>#REF!</v>
      </c>
      <c r="BY57" s="173" t="e">
        <f t="shared" si="79"/>
        <v>#REF!</v>
      </c>
      <c r="BZ57" s="189"/>
      <c r="CA57" s="189">
        <f>VLOOKUP($B57,'Average RAS salary'!$A$5:$D$62,4,FALSE)</f>
        <v>51334.67078189303</v>
      </c>
      <c r="CB57" s="189" t="e">
        <f t="shared" si="80"/>
        <v>#REF!</v>
      </c>
      <c r="CC57" s="189" t="e">
        <f>IF(VLOOKUP($B57,#REF!,7,FALSE)&gt;VLOOKUP($B57,#REF!,19,FALSE)*$CA$65,VLOOKUP($B57,#REF!,19,FALSE)*$CA$65,VLOOKUP($B57,#REF!,7,FALSE))</f>
        <v>#REF!</v>
      </c>
      <c r="CD57" s="189" t="e">
        <f t="shared" si="81"/>
        <v>#REF!</v>
      </c>
      <c r="CE57" s="189" t="e">
        <f t="shared" si="82"/>
        <v>#REF!</v>
      </c>
      <c r="CF57" s="189" t="e">
        <f t="shared" si="83"/>
        <v>#REF!</v>
      </c>
      <c r="CG57" s="189" t="e">
        <f t="shared" si="84"/>
        <v>#REF!</v>
      </c>
      <c r="CH57" s="213" t="e">
        <f t="shared" si="85"/>
        <v>#REF!</v>
      </c>
      <c r="CI57" s="173" t="e">
        <f t="shared" si="86"/>
        <v>#REF!</v>
      </c>
      <c r="CJ57" s="189"/>
      <c r="CK57" s="189">
        <f>VLOOKUP($B57,'Average RAS salary'!$A$5:$D$62,4,FALSE)</f>
        <v>51334.67078189303</v>
      </c>
      <c r="CL57" s="189" t="e">
        <f t="shared" si="87"/>
        <v>#REF!</v>
      </c>
      <c r="CM57" s="189" t="e">
        <f>IF($AY57&gt;VLOOKUP($B57,#REF!,19,FALSE)*$CK$65,VLOOKUP($B57,#REF!,19,FALSE)*$CK$65,$AY57)</f>
        <v>#REF!</v>
      </c>
      <c r="CN57" s="189" t="e">
        <f t="shared" si="88"/>
        <v>#REF!</v>
      </c>
      <c r="CO57" s="189" t="e">
        <f t="shared" si="89"/>
        <v>#REF!</v>
      </c>
      <c r="CP57" s="189" t="e">
        <f t="shared" si="90"/>
        <v>#REF!</v>
      </c>
      <c r="CQ57" s="189" t="e">
        <f t="shared" si="91"/>
        <v>#REF!</v>
      </c>
      <c r="CR57" s="213" t="e">
        <f t="shared" si="92"/>
        <v>#REF!</v>
      </c>
      <c r="CS57" s="173" t="e">
        <f t="shared" si="93"/>
        <v>#REF!</v>
      </c>
      <c r="CT57" s="1"/>
      <c r="CU57" s="254">
        <v>0.32483112983300572</v>
      </c>
      <c r="CV57" s="252">
        <v>14094.175263157889</v>
      </c>
      <c r="CW57" s="254">
        <v>0.33468469146324864</v>
      </c>
      <c r="CX57" s="255">
        <v>17246.428205128203</v>
      </c>
      <c r="CY57" s="190" t="e">
        <f>VLOOKUP($B57,#REF!,13,FALSE)</f>
        <v>#REF!</v>
      </c>
      <c r="CZ57" s="172" t="e">
        <f>VLOOKUP($B57,#REF!,14,FALSE)</f>
        <v>#REF!</v>
      </c>
      <c r="DA57" s="190" t="e">
        <f>VLOOKUP($B57,#REF!,15,FALSE)</f>
        <v>#REF!</v>
      </c>
      <c r="DB57" s="189" t="e">
        <f>VLOOKUP($B57,#REF!,16,FALSE)</f>
        <v>#REF!</v>
      </c>
      <c r="DC57" s="190" t="e">
        <f t="shared" si="94"/>
        <v>#REF!</v>
      </c>
      <c r="DD57" s="190" t="e">
        <f t="shared" si="95"/>
        <v>#REF!</v>
      </c>
      <c r="DE57" s="190" t="e">
        <f t="shared" si="96"/>
        <v>#REF!</v>
      </c>
      <c r="DF57" s="190" t="e">
        <f t="shared" si="97"/>
        <v>#REF!</v>
      </c>
      <c r="DG57" s="1"/>
      <c r="DH57" s="253" t="s">
        <v>272</v>
      </c>
      <c r="DI57" s="253">
        <v>0</v>
      </c>
      <c r="DJ57" s="173">
        <f t="shared" si="98"/>
        <v>0</v>
      </c>
      <c r="DK57" s="172" t="e">
        <f>IF(VLOOKUP($B57,#REF!,6,FALSE)="Y","Yes","")</f>
        <v>#REF!</v>
      </c>
      <c r="DL57" s="172" t="e">
        <f>VLOOKUP($B57,#REF!,4,FALSE)</f>
        <v>#REF!</v>
      </c>
      <c r="DM57" s="173" t="e">
        <f t="shared" si="148"/>
        <v>#REF!</v>
      </c>
      <c r="DN57" s="1"/>
      <c r="DO57" s="172">
        <f t="shared" si="99"/>
        <v>6790525.1432320569</v>
      </c>
      <c r="DP57" s="252">
        <v>6615205.866353089</v>
      </c>
      <c r="DQ57" s="172">
        <f t="shared" si="100"/>
        <v>-175319.27687896788</v>
      </c>
      <c r="DR57" s="173">
        <f t="shared" si="149"/>
        <v>-2.5818220709145613E-2</v>
      </c>
      <c r="DS57" s="172">
        <f t="shared" si="101"/>
        <v>6615205.866353089</v>
      </c>
      <c r="DT57" s="252">
        <v>6727996.4293793151</v>
      </c>
      <c r="DU57" s="172">
        <f t="shared" si="102"/>
        <v>112790.56302622613</v>
      </c>
      <c r="DV57" s="173">
        <f t="shared" si="103"/>
        <v>1.6609991222643745E-2</v>
      </c>
      <c r="DW57" s="172">
        <f t="shared" si="104"/>
        <v>6727996.4293793151</v>
      </c>
      <c r="DX57" s="252">
        <v>6746250.9176492058</v>
      </c>
      <c r="DY57" s="172">
        <f t="shared" si="105"/>
        <v>18254.488269890659</v>
      </c>
      <c r="DZ57" s="173">
        <f t="shared" si="106"/>
        <v>2.6882292436667347E-3</v>
      </c>
      <c r="EA57" s="172">
        <f t="shared" si="107"/>
        <v>6746250.9176492058</v>
      </c>
      <c r="EB57" s="252">
        <v>6756364.630375471</v>
      </c>
      <c r="EC57" s="172">
        <f t="shared" si="108"/>
        <v>10113.712726265192</v>
      </c>
      <c r="ED57" s="173">
        <f t="shared" si="109"/>
        <v>1.4893859477635939E-3</v>
      </c>
      <c r="EE57" s="172">
        <f t="shared" si="110"/>
        <v>6756364.630375471</v>
      </c>
      <c r="EF57" s="252">
        <v>6797558.0044338591</v>
      </c>
      <c r="EG57" s="172">
        <f t="shared" si="111"/>
        <v>41193.374058388174</v>
      </c>
      <c r="EH57" s="173">
        <f t="shared" si="112"/>
        <v>6.0663016761589575E-3</v>
      </c>
      <c r="EI57" s="172">
        <f t="shared" si="113"/>
        <v>6797558.0044338591</v>
      </c>
      <c r="EJ57" s="252">
        <v>6790525.1432320569</v>
      </c>
      <c r="EK57" s="172">
        <f t="shared" si="114"/>
        <v>-7032.8612018022686</v>
      </c>
      <c r="EL57" s="173">
        <f t="shared" si="115"/>
        <v>-1.0356873810874175E-3</v>
      </c>
      <c r="EM57" s="172">
        <f t="shared" si="116"/>
        <v>0</v>
      </c>
      <c r="EN57" s="173">
        <f t="shared" si="150"/>
        <v>0</v>
      </c>
      <c r="EO57" s="214"/>
      <c r="EP57" s="273">
        <v>3616621.928808135</v>
      </c>
      <c r="EQ57" s="273">
        <v>3504863.7954800618</v>
      </c>
      <c r="ER57" s="172">
        <f t="shared" si="117"/>
        <v>-111758.13332807319</v>
      </c>
      <c r="ES57" s="173">
        <f t="shared" si="18"/>
        <v>-3.0901248603805075E-2</v>
      </c>
      <c r="ET57" s="273">
        <v>2100701.3505386496</v>
      </c>
      <c r="EU57" s="273">
        <v>2036210.4792953481</v>
      </c>
      <c r="EV57" s="172">
        <f t="shared" si="118"/>
        <v>-64490.871243301546</v>
      </c>
      <c r="EW57" s="173">
        <f t="shared" si="19"/>
        <v>-3.0699685715327964E-2</v>
      </c>
      <c r="EX57" s="273">
        <v>1319291.1900000002</v>
      </c>
      <c r="EY57" s="273">
        <v>1277408.9300000002</v>
      </c>
      <c r="EZ57" s="172">
        <f t="shared" si="119"/>
        <v>-41882.260000000009</v>
      </c>
      <c r="FA57" s="173">
        <f t="shared" si="20"/>
        <v>-3.1746031746031751E-2</v>
      </c>
      <c r="FB57" s="172">
        <f t="shared" si="120"/>
        <v>3504863.7954800618</v>
      </c>
      <c r="FC57" s="273">
        <v>3578550.3845255356</v>
      </c>
      <c r="FD57" s="172">
        <f t="shared" si="121"/>
        <v>73686.58904547384</v>
      </c>
      <c r="FE57" s="173">
        <f t="shared" si="21"/>
        <v>2.1024094899351423E-2</v>
      </c>
      <c r="FF57" s="172">
        <f t="shared" si="122"/>
        <v>2036210.4792953481</v>
      </c>
      <c r="FG57" s="273">
        <v>2060314.9446506142</v>
      </c>
      <c r="FH57" s="172">
        <f t="shared" si="123"/>
        <v>24104.465355266118</v>
      </c>
      <c r="FI57" s="173">
        <f t="shared" si="22"/>
        <v>1.1837904578316344E-2</v>
      </c>
      <c r="FJ57" s="172">
        <f t="shared" si="124"/>
        <v>3578550.3845255356</v>
      </c>
      <c r="FK57" s="273">
        <v>3607757.3727834709</v>
      </c>
      <c r="FL57" s="172">
        <f t="shared" si="125"/>
        <v>29206.988257935271</v>
      </c>
      <c r="FM57" s="173">
        <f t="shared" si="23"/>
        <v>8.1616814406841719E-3</v>
      </c>
      <c r="FN57" s="172">
        <f t="shared" si="126"/>
        <v>2060314.9446506142</v>
      </c>
      <c r="FO57" s="273">
        <v>2069856.3397643138</v>
      </c>
      <c r="FP57" s="172">
        <f t="shared" si="127"/>
        <v>9541.3951136996038</v>
      </c>
      <c r="FQ57" s="173">
        <f t="shared" si="24"/>
        <v>4.6310371812197009E-3</v>
      </c>
      <c r="FR57" s="172">
        <f t="shared" si="128"/>
        <v>2069856.3397643138</v>
      </c>
      <c r="FS57" s="273">
        <v>2026817.578731254</v>
      </c>
      <c r="FT57" s="172">
        <f t="shared" si="129"/>
        <v>-43038.761033059796</v>
      </c>
      <c r="FU57" s="173">
        <f t="shared" si="25"/>
        <v>-2.0793115061289929E-2</v>
      </c>
      <c r="FV57" s="172">
        <f t="shared" si="26"/>
        <v>1277408.9300000002</v>
      </c>
      <c r="FW57" s="273">
        <v>1388107.46</v>
      </c>
      <c r="FX57" s="172">
        <f t="shared" si="130"/>
        <v>110698.5299999998</v>
      </c>
      <c r="FY57" s="173">
        <f t="shared" si="27"/>
        <v>8.6658647360481331E-2</v>
      </c>
      <c r="FZ57" s="214"/>
      <c r="GA57" s="172">
        <f t="shared" si="151"/>
        <v>3616621.928808135</v>
      </c>
      <c r="GB57" s="172">
        <f t="shared" si="152"/>
        <v>-111758.13332807319</v>
      </c>
      <c r="GC57" s="172">
        <f t="shared" si="153"/>
        <v>73686.58904547384</v>
      </c>
      <c r="GD57" s="172">
        <f t="shared" si="154"/>
        <v>29206.988257935271</v>
      </c>
      <c r="GE57" s="172">
        <f t="shared" si="155"/>
        <v>-8864.5560246640816</v>
      </c>
      <c r="GF57" s="172">
        <f t="shared" si="156"/>
        <v>3607757.3727834709</v>
      </c>
      <c r="GG57" s="173">
        <f t="shared" si="157"/>
        <v>-2.4510596349741798E-3</v>
      </c>
      <c r="GH57" s="244"/>
      <c r="GI57" s="172">
        <f t="shared" si="158"/>
        <v>2100701.3505386496</v>
      </c>
      <c r="GJ57" s="172">
        <f t="shared" si="159"/>
        <v>-64490.871243301546</v>
      </c>
      <c r="GK57" s="172">
        <f t="shared" si="160"/>
        <v>24104.465355266118</v>
      </c>
      <c r="GL57" s="172">
        <f t="shared" si="161"/>
        <v>9541.3951136996038</v>
      </c>
      <c r="GM57" s="172">
        <f t="shared" si="162"/>
        <v>-43038.761033059796</v>
      </c>
      <c r="GN57" s="172">
        <f t="shared" si="163"/>
        <v>-73883.77180739562</v>
      </c>
      <c r="GO57" s="172">
        <f t="shared" si="164"/>
        <v>2026817.578731254</v>
      </c>
      <c r="GP57" s="173">
        <f t="shared" si="165"/>
        <v>-3.5171002193363075E-2</v>
      </c>
      <c r="GQ57" s="214"/>
      <c r="GR57" s="172">
        <f t="shared" si="166"/>
        <v>1319291.1900000002</v>
      </c>
      <c r="GS57" s="172">
        <f t="shared" si="167"/>
        <v>-41882.260000000009</v>
      </c>
      <c r="GT57" s="172">
        <f t="shared" si="168"/>
        <v>110698.5299999998</v>
      </c>
      <c r="GU57" s="172">
        <f t="shared" si="131"/>
        <v>68816.269999999786</v>
      </c>
      <c r="GV57" s="172">
        <f t="shared" si="132"/>
        <v>1388107.46</v>
      </c>
      <c r="GW57" s="173">
        <f t="shared" si="133"/>
        <v>5.216154744427557E-2</v>
      </c>
      <c r="GX57" s="214"/>
      <c r="GY57" s="273">
        <v>-246089.32611472849</v>
      </c>
      <c r="GZ57" s="172" t="e">
        <f t="shared" si="134"/>
        <v>#REF!</v>
      </c>
      <c r="HA57" s="172" t="e">
        <f>-VLOOKUP($B57,#REF!,23,FALSE)</f>
        <v>#REF!</v>
      </c>
    </row>
    <row r="58" spans="1:209" ht="15" customHeight="1" x14ac:dyDescent="0.45">
      <c r="A58" s="148">
        <v>2</v>
      </c>
      <c r="B58" s="212" t="s">
        <v>37</v>
      </c>
      <c r="C58" s="172">
        <v>2907297.5888990578</v>
      </c>
      <c r="D58" s="173">
        <f t="shared" si="0"/>
        <v>2.0182727371638883E-3</v>
      </c>
      <c r="E58" s="1"/>
      <c r="F58" s="252">
        <v>5229016.4911851725</v>
      </c>
      <c r="G58" s="173">
        <f t="shared" si="1"/>
        <v>2.2249993049021552E-3</v>
      </c>
      <c r="H58" s="173">
        <f t="shared" si="46"/>
        <v>1.1024274687616118</v>
      </c>
      <c r="I58" s="172" t="e">
        <f>VLOOKUP($B58,#REF!,24,FALSE)</f>
        <v>#REF!</v>
      </c>
      <c r="J58" s="173" t="e">
        <f t="shared" si="136"/>
        <v>#REF!</v>
      </c>
      <c r="K58" s="173" t="e">
        <f t="shared" si="47"/>
        <v>#REF!</v>
      </c>
      <c r="L58" s="172" t="e">
        <f t="shared" si="48"/>
        <v>#REF!</v>
      </c>
      <c r="M58" s="173" t="e">
        <f t="shared" si="137"/>
        <v>#REF!</v>
      </c>
      <c r="N58" s="173" t="e">
        <f t="shared" si="50"/>
        <v>#REF!</v>
      </c>
      <c r="O58" s="176"/>
      <c r="P58" s="253">
        <v>54</v>
      </c>
      <c r="Q58" s="173">
        <f t="shared" si="138"/>
        <v>3.003671153632217E-3</v>
      </c>
      <c r="R58" s="172" t="e">
        <f>VLOOKUP($B58,#REF!,4,FALSE)</f>
        <v>#REF!</v>
      </c>
      <c r="S58" s="173" t="e">
        <f t="shared" si="139"/>
        <v>#REF!</v>
      </c>
      <c r="T58" s="172" t="e">
        <f t="shared" si="51"/>
        <v>#REF!</v>
      </c>
      <c r="U58" s="173" t="e">
        <f t="shared" si="52"/>
        <v>#REF!</v>
      </c>
      <c r="V58" s="173" t="e">
        <f t="shared" si="53"/>
        <v>#REF!</v>
      </c>
      <c r="W58" s="1"/>
      <c r="X58" s="189">
        <f>VLOOKUP($B58,'Average RAS salary'!$A$5:$D$62,4,FALSE)</f>
        <v>52423.247567567552</v>
      </c>
      <c r="Y58" s="253">
        <v>46204.727227645206</v>
      </c>
      <c r="Z58" s="252" t="s">
        <v>272</v>
      </c>
      <c r="AA58" s="252" t="s">
        <v>272</v>
      </c>
      <c r="AB58" s="173">
        <f t="shared" si="5"/>
        <v>0.79204639947157418</v>
      </c>
      <c r="AC58" s="172" t="e">
        <f>VLOOKUP($B58,#REF!,3,FALSE)</f>
        <v>#REF!</v>
      </c>
      <c r="AD58" s="172" t="e">
        <f>VLOOKUP($B58,#REF!,5,FALSE)</f>
        <v>#REF!</v>
      </c>
      <c r="AE58" s="172" t="e">
        <f>VLOOKUP($B58,#REF!,6,FALSE)</f>
        <v>#REF!</v>
      </c>
      <c r="AF58" s="173" t="e">
        <f t="shared" si="6"/>
        <v>#REF!</v>
      </c>
      <c r="AG58" s="172" t="e">
        <f t="shared" si="140"/>
        <v>#REF!</v>
      </c>
      <c r="AH58" s="173" t="e">
        <f t="shared" si="141"/>
        <v>#REF!</v>
      </c>
      <c r="AI58" s="173" t="e">
        <f t="shared" si="142"/>
        <v>#REF!</v>
      </c>
      <c r="AJ58" s="189">
        <v>51167.116788321167</v>
      </c>
      <c r="AK58" s="189">
        <f>VLOOKUP($B58,'Average RAS salary'!$A$5:$D$62,4,FALSE)</f>
        <v>52423.247567567552</v>
      </c>
      <c r="AL58" s="189">
        <f t="shared" si="55"/>
        <v>1256.1307792463849</v>
      </c>
      <c r="AM58" s="173">
        <f t="shared" si="56"/>
        <v>2.454957124989101E-2</v>
      </c>
      <c r="AN58" s="189" t="e">
        <f t="shared" si="57"/>
        <v>#REF!</v>
      </c>
      <c r="AO58" s="189" t="e">
        <f t="shared" si="58"/>
        <v>#REF!</v>
      </c>
      <c r="AP58" s="189" t="e">
        <f t="shared" si="59"/>
        <v>#REF!</v>
      </c>
      <c r="AQ58" s="189" t="e">
        <f t="shared" si="135"/>
        <v>#REF!</v>
      </c>
      <c r="AR58" s="189" t="e">
        <f t="shared" si="60"/>
        <v>#REF!</v>
      </c>
      <c r="AS58" s="189" t="e">
        <f t="shared" si="143"/>
        <v>#REF!</v>
      </c>
      <c r="AT58" s="213" t="e">
        <f t="shared" si="61"/>
        <v>#REF!</v>
      </c>
      <c r="AU58" s="173" t="e">
        <f t="shared" si="62"/>
        <v>#REF!</v>
      </c>
      <c r="AV58" s="189"/>
      <c r="AW58" s="189">
        <f>VLOOKUP($B58,'Average RAS salary'!$A$5:$D$62,4,FALSE)</f>
        <v>52423.247567567552</v>
      </c>
      <c r="AX58" s="189" t="e">
        <f t="shared" si="144"/>
        <v>#REF!</v>
      </c>
      <c r="AY58" s="189">
        <v>41244.470915406338</v>
      </c>
      <c r="AZ58" s="189" t="e">
        <f t="shared" si="145"/>
        <v>#REF!</v>
      </c>
      <c r="BA58" s="189" t="e">
        <f t="shared" si="63"/>
        <v>#REF!</v>
      </c>
      <c r="BB58" s="189" t="e">
        <f t="shared" si="64"/>
        <v>#REF!</v>
      </c>
      <c r="BC58" s="189" t="e">
        <f t="shared" si="65"/>
        <v>#REF!</v>
      </c>
      <c r="BD58" s="213">
        <f t="shared" si="66"/>
        <v>-11178.776652161214</v>
      </c>
      <c r="BE58" s="173">
        <f t="shared" si="169"/>
        <v>-0.21324082674872541</v>
      </c>
      <c r="BF58" s="189"/>
      <c r="BG58" s="189">
        <f>VLOOKUP($B58,'Average RAS salary'!$A$5:$D$62,4,FALSE)</f>
        <v>52423.247567567552</v>
      </c>
      <c r="BH58" s="189" t="e">
        <f t="shared" si="68"/>
        <v>#REF!</v>
      </c>
      <c r="BI58" s="189" t="e">
        <f>$BG$65*#REF!</f>
        <v>#REF!</v>
      </c>
      <c r="BJ58" s="189" t="e">
        <f t="shared" si="69"/>
        <v>#REF!</v>
      </c>
      <c r="BK58" s="189" t="e">
        <f t="shared" si="146"/>
        <v>#REF!</v>
      </c>
      <c r="BL58" s="189" t="e">
        <f t="shared" si="147"/>
        <v>#REF!</v>
      </c>
      <c r="BM58" s="189" t="e">
        <f t="shared" si="70"/>
        <v>#REF!</v>
      </c>
      <c r="BN58" s="213" t="e">
        <f t="shared" si="71"/>
        <v>#REF!</v>
      </c>
      <c r="BO58" s="173" t="e">
        <f t="shared" si="72"/>
        <v>#REF!</v>
      </c>
      <c r="BP58" s="189"/>
      <c r="BQ58" s="189">
        <f>VLOOKUP($B58,'Average RAS salary'!$A$5:$D$62,4,FALSE)</f>
        <v>52423.247567567552</v>
      </c>
      <c r="BR58" s="189" t="e">
        <f t="shared" si="73"/>
        <v>#REF!</v>
      </c>
      <c r="BS58" s="189" t="e">
        <f>VLOOKUP($B58,#REF!,19,FALSE)*$BQ$65</f>
        <v>#REF!</v>
      </c>
      <c r="BT58" s="189" t="e">
        <f t="shared" si="74"/>
        <v>#REF!</v>
      </c>
      <c r="BU58" s="189" t="e">
        <f t="shared" si="75"/>
        <v>#REF!</v>
      </c>
      <c r="BV58" s="189" t="e">
        <f t="shared" si="76"/>
        <v>#REF!</v>
      </c>
      <c r="BW58" s="189" t="e">
        <f t="shared" si="77"/>
        <v>#REF!</v>
      </c>
      <c r="BX58" s="213" t="e">
        <f t="shared" si="78"/>
        <v>#REF!</v>
      </c>
      <c r="BY58" s="173" t="e">
        <f t="shared" si="79"/>
        <v>#REF!</v>
      </c>
      <c r="BZ58" s="189"/>
      <c r="CA58" s="189">
        <f>VLOOKUP($B58,'Average RAS salary'!$A$5:$D$62,4,FALSE)</f>
        <v>52423.247567567552</v>
      </c>
      <c r="CB58" s="189" t="e">
        <f t="shared" si="80"/>
        <v>#REF!</v>
      </c>
      <c r="CC58" s="189" t="e">
        <f>IF(VLOOKUP($B58,#REF!,7,FALSE)&gt;VLOOKUP($B58,#REF!,19,FALSE)*$CA$65,VLOOKUP($B58,#REF!,19,FALSE)*$CA$65,VLOOKUP($B58,#REF!,7,FALSE))</f>
        <v>#REF!</v>
      </c>
      <c r="CD58" s="189" t="e">
        <f t="shared" si="81"/>
        <v>#REF!</v>
      </c>
      <c r="CE58" s="189" t="e">
        <f t="shared" si="82"/>
        <v>#REF!</v>
      </c>
      <c r="CF58" s="189" t="e">
        <f t="shared" si="83"/>
        <v>#REF!</v>
      </c>
      <c r="CG58" s="189" t="e">
        <f t="shared" si="84"/>
        <v>#REF!</v>
      </c>
      <c r="CH58" s="213" t="e">
        <f t="shared" si="85"/>
        <v>#REF!</v>
      </c>
      <c r="CI58" s="173" t="e">
        <f t="shared" si="86"/>
        <v>#REF!</v>
      </c>
      <c r="CJ58" s="189"/>
      <c r="CK58" s="189">
        <f>VLOOKUP($B58,'Average RAS salary'!$A$5:$D$62,4,FALSE)</f>
        <v>52423.247567567552</v>
      </c>
      <c r="CL58" s="189" t="e">
        <f t="shared" si="87"/>
        <v>#REF!</v>
      </c>
      <c r="CM58" s="189" t="e">
        <f>IF($AY58&gt;VLOOKUP($B58,#REF!,19,FALSE)*$CK$65,VLOOKUP($B58,#REF!,19,FALSE)*$CK$65,$AY58)</f>
        <v>#REF!</v>
      </c>
      <c r="CN58" s="189" t="e">
        <f t="shared" si="88"/>
        <v>#REF!</v>
      </c>
      <c r="CO58" s="189" t="e">
        <f t="shared" si="89"/>
        <v>#REF!</v>
      </c>
      <c r="CP58" s="189" t="e">
        <f t="shared" si="90"/>
        <v>#REF!</v>
      </c>
      <c r="CQ58" s="189" t="e">
        <f t="shared" si="91"/>
        <v>#REF!</v>
      </c>
      <c r="CR58" s="213" t="e">
        <f t="shared" si="92"/>
        <v>#REF!</v>
      </c>
      <c r="CS58" s="173" t="e">
        <f t="shared" si="93"/>
        <v>#REF!</v>
      </c>
      <c r="CT58" s="1"/>
      <c r="CU58" s="254">
        <v>0.23965000148352078</v>
      </c>
      <c r="CV58" s="252">
        <v>18556.347946456692</v>
      </c>
      <c r="CW58" s="254">
        <v>0.2396500004683563</v>
      </c>
      <c r="CX58" s="255">
        <v>18679.97</v>
      </c>
      <c r="CY58" s="190" t="e">
        <f>VLOOKUP($B58,#REF!,13,FALSE)</f>
        <v>#REF!</v>
      </c>
      <c r="CZ58" s="172" t="e">
        <f>VLOOKUP($B58,#REF!,14,FALSE)</f>
        <v>#REF!</v>
      </c>
      <c r="DA58" s="190" t="e">
        <f>VLOOKUP($B58,#REF!,15,FALSE)</f>
        <v>#REF!</v>
      </c>
      <c r="DB58" s="189" t="e">
        <f>VLOOKUP($B58,#REF!,16,FALSE)</f>
        <v>#REF!</v>
      </c>
      <c r="DC58" s="190" t="e">
        <f t="shared" si="94"/>
        <v>#REF!</v>
      </c>
      <c r="DD58" s="190" t="e">
        <f t="shared" si="95"/>
        <v>#REF!</v>
      </c>
      <c r="DE58" s="190" t="e">
        <f t="shared" si="96"/>
        <v>#REF!</v>
      </c>
      <c r="DF58" s="190" t="e">
        <f t="shared" si="97"/>
        <v>#REF!</v>
      </c>
      <c r="DG58" s="1"/>
      <c r="DH58" s="253" t="s">
        <v>272</v>
      </c>
      <c r="DI58" s="253">
        <v>0</v>
      </c>
      <c r="DJ58" s="173">
        <f t="shared" si="98"/>
        <v>0</v>
      </c>
      <c r="DK58" s="172" t="e">
        <f>IF(VLOOKUP($B58,#REF!,6,FALSE)="Y","Yes","")</f>
        <v>#REF!</v>
      </c>
      <c r="DL58" s="172" t="e">
        <f>VLOOKUP($B58,#REF!,4,FALSE)</f>
        <v>#REF!</v>
      </c>
      <c r="DM58" s="173" t="e">
        <f t="shared" si="148"/>
        <v>#REF!</v>
      </c>
      <c r="DN58" s="1"/>
      <c r="DO58" s="172">
        <f t="shared" si="99"/>
        <v>5229016.4911851725</v>
      </c>
      <c r="DP58" s="252">
        <v>5026550.9757133974</v>
      </c>
      <c r="DQ58" s="172">
        <f t="shared" si="100"/>
        <v>-202465.51547177508</v>
      </c>
      <c r="DR58" s="173">
        <f t="shared" si="149"/>
        <v>-3.8719616932377597E-2</v>
      </c>
      <c r="DS58" s="172">
        <f t="shared" si="101"/>
        <v>5026550.9757133974</v>
      </c>
      <c r="DT58" s="252">
        <v>5101798.2034062566</v>
      </c>
      <c r="DU58" s="172">
        <f t="shared" si="102"/>
        <v>75247.227692859247</v>
      </c>
      <c r="DV58" s="173">
        <f t="shared" si="103"/>
        <v>1.4390321357698422E-2</v>
      </c>
      <c r="DW58" s="172">
        <f t="shared" si="104"/>
        <v>5101798.2034062566</v>
      </c>
      <c r="DX58" s="252">
        <v>5077534.2586740311</v>
      </c>
      <c r="DY58" s="172">
        <f t="shared" si="105"/>
        <v>-24263.9447322255</v>
      </c>
      <c r="DZ58" s="173">
        <f t="shared" si="106"/>
        <v>-4.6402501834003594E-3</v>
      </c>
      <c r="EA58" s="172">
        <f t="shared" si="107"/>
        <v>5077534.2586740311</v>
      </c>
      <c r="EB58" s="252">
        <v>5189535.9993161792</v>
      </c>
      <c r="EC58" s="172">
        <f t="shared" si="108"/>
        <v>112001.74064214807</v>
      </c>
      <c r="ED58" s="173">
        <f t="shared" si="109"/>
        <v>2.1419274701266536E-2</v>
      </c>
      <c r="EE58" s="172">
        <f t="shared" si="110"/>
        <v>5189535.9993161792</v>
      </c>
      <c r="EF58" s="252">
        <v>5224844.6056519393</v>
      </c>
      <c r="EG58" s="172">
        <f t="shared" si="111"/>
        <v>35308.606335760094</v>
      </c>
      <c r="EH58" s="173">
        <f t="shared" si="112"/>
        <v>6.7524373647093417E-3</v>
      </c>
      <c r="EI58" s="172">
        <f t="shared" si="113"/>
        <v>5224844.6056519393</v>
      </c>
      <c r="EJ58" s="252">
        <v>5229016.4911851725</v>
      </c>
      <c r="EK58" s="172">
        <f t="shared" si="114"/>
        <v>4171.8855332331732</v>
      </c>
      <c r="EL58" s="173">
        <f t="shared" si="115"/>
        <v>7.9783369210365647E-4</v>
      </c>
      <c r="EM58" s="172">
        <f t="shared" si="116"/>
        <v>0</v>
      </c>
      <c r="EN58" s="173">
        <f t="shared" si="150"/>
        <v>0</v>
      </c>
      <c r="EO58" s="214"/>
      <c r="EP58" s="273">
        <v>2574633.8476724778</v>
      </c>
      <c r="EQ58" s="273">
        <v>2528429.1204448328</v>
      </c>
      <c r="ER58" s="172">
        <f t="shared" si="117"/>
        <v>-46204.727227644995</v>
      </c>
      <c r="ES58" s="173">
        <f t="shared" si="18"/>
        <v>-1.7946135241488814E-2</v>
      </c>
      <c r="ET58" s="273">
        <v>1620042.7704952115</v>
      </c>
      <c r="EU58" s="273">
        <v>1590413.4596001038</v>
      </c>
      <c r="EV58" s="172">
        <f t="shared" si="118"/>
        <v>-29629.310895107687</v>
      </c>
      <c r="EW58" s="173">
        <f t="shared" si="19"/>
        <v>-1.8289215219947964E-2</v>
      </c>
      <c r="EX58" s="273">
        <v>1130821.02</v>
      </c>
      <c r="EY58" s="273">
        <v>1109879.8900000001</v>
      </c>
      <c r="EZ58" s="172">
        <f t="shared" si="119"/>
        <v>-20941.129999999888</v>
      </c>
      <c r="FA58" s="173">
        <f t="shared" si="20"/>
        <v>-1.851851851851842E-2</v>
      </c>
      <c r="FB58" s="172">
        <f t="shared" si="120"/>
        <v>2528429.1204448328</v>
      </c>
      <c r="FC58" s="273">
        <v>2582022.3587049819</v>
      </c>
      <c r="FD58" s="172">
        <f t="shared" si="121"/>
        <v>53593.238260149024</v>
      </c>
      <c r="FE58" s="173">
        <f t="shared" si="21"/>
        <v>2.1196258905102402E-2</v>
      </c>
      <c r="FF58" s="172">
        <f t="shared" si="122"/>
        <v>1590413.4596001038</v>
      </c>
      <c r="FG58" s="273">
        <v>1603257.0792161399</v>
      </c>
      <c r="FH58" s="172">
        <f t="shared" si="123"/>
        <v>12843.619616036071</v>
      </c>
      <c r="FI58" s="173">
        <f t="shared" si="22"/>
        <v>8.0756482149399646E-3</v>
      </c>
      <c r="FJ58" s="172">
        <f t="shared" si="124"/>
        <v>2582022.3587049819</v>
      </c>
      <c r="FK58" s="273">
        <v>2933944.4310142128</v>
      </c>
      <c r="FL58" s="172">
        <f t="shared" si="125"/>
        <v>351922.07230923092</v>
      </c>
      <c r="FM58" s="173">
        <f t="shared" si="23"/>
        <v>0.13629706618254772</v>
      </c>
      <c r="FN58" s="172">
        <f t="shared" si="126"/>
        <v>1603257.0792161399</v>
      </c>
      <c r="FO58" s="273">
        <v>1687595.2043032697</v>
      </c>
      <c r="FP58" s="172">
        <f t="shared" si="127"/>
        <v>84338.125087129883</v>
      </c>
      <c r="FQ58" s="173">
        <f t="shared" si="24"/>
        <v>5.2604243062730933E-2</v>
      </c>
      <c r="FR58" s="172">
        <f t="shared" si="128"/>
        <v>1687595.2043032697</v>
      </c>
      <c r="FS58" s="273">
        <v>1744695.8526476924</v>
      </c>
      <c r="FT58" s="172">
        <f t="shared" si="129"/>
        <v>57100.648344422691</v>
      </c>
      <c r="FU58" s="173">
        <f t="shared" si="25"/>
        <v>3.3835512330693616E-2</v>
      </c>
      <c r="FV58" s="172">
        <f t="shared" si="26"/>
        <v>1109879.8900000001</v>
      </c>
      <c r="FW58" s="273">
        <v>1206060.58</v>
      </c>
      <c r="FX58" s="172">
        <f t="shared" si="130"/>
        <v>96180.689999999944</v>
      </c>
      <c r="FY58" s="173">
        <f t="shared" si="27"/>
        <v>8.6658647360481442E-2</v>
      </c>
      <c r="FZ58" s="214"/>
      <c r="GA58" s="172">
        <f t="shared" si="151"/>
        <v>2574633.8476724778</v>
      </c>
      <c r="GB58" s="172">
        <f t="shared" si="152"/>
        <v>-46204.727227644995</v>
      </c>
      <c r="GC58" s="172">
        <f t="shared" si="153"/>
        <v>53593.238260149024</v>
      </c>
      <c r="GD58" s="172">
        <f t="shared" si="154"/>
        <v>351922.07230923092</v>
      </c>
      <c r="GE58" s="172">
        <f t="shared" si="155"/>
        <v>359310.58334173495</v>
      </c>
      <c r="GF58" s="172">
        <f t="shared" si="156"/>
        <v>2933944.4310142128</v>
      </c>
      <c r="GG58" s="173">
        <f t="shared" si="157"/>
        <v>0.13955793506970288</v>
      </c>
      <c r="GH58" s="244"/>
      <c r="GI58" s="172">
        <f t="shared" si="158"/>
        <v>1620042.7704952115</v>
      </c>
      <c r="GJ58" s="172">
        <f t="shared" si="159"/>
        <v>-29629.310895107687</v>
      </c>
      <c r="GK58" s="172">
        <f t="shared" si="160"/>
        <v>12843.619616036071</v>
      </c>
      <c r="GL58" s="172">
        <f t="shared" si="161"/>
        <v>84338.125087129883</v>
      </c>
      <c r="GM58" s="172">
        <f t="shared" si="162"/>
        <v>57100.648344422691</v>
      </c>
      <c r="GN58" s="172">
        <f t="shared" si="163"/>
        <v>124653.08215248096</v>
      </c>
      <c r="GO58" s="172">
        <f t="shared" si="164"/>
        <v>1744695.8526476924</v>
      </c>
      <c r="GP58" s="173">
        <f t="shared" si="165"/>
        <v>7.6944315559259735E-2</v>
      </c>
      <c r="GQ58" s="214"/>
      <c r="GR58" s="172">
        <f t="shared" si="166"/>
        <v>1130821.02</v>
      </c>
      <c r="GS58" s="172">
        <f t="shared" si="167"/>
        <v>-20941.129999999888</v>
      </c>
      <c r="GT58" s="172">
        <f t="shared" si="168"/>
        <v>96180.689999999944</v>
      </c>
      <c r="GU58" s="172">
        <f t="shared" si="131"/>
        <v>75239.560000000056</v>
      </c>
      <c r="GV58" s="172">
        <f t="shared" si="132"/>
        <v>1206060.58</v>
      </c>
      <c r="GW58" s="173">
        <f t="shared" si="133"/>
        <v>6.6535339076028183E-2</v>
      </c>
      <c r="GX58" s="214"/>
      <c r="GY58" s="273">
        <v>-96481.146982516409</v>
      </c>
      <c r="GZ58" s="172" t="e">
        <f t="shared" si="134"/>
        <v>#REF!</v>
      </c>
      <c r="HA58" s="172" t="e">
        <f>-VLOOKUP($B58,#REF!,23,FALSE)</f>
        <v>#REF!</v>
      </c>
    </row>
    <row r="59" spans="1:209" ht="15" customHeight="1" x14ac:dyDescent="0.45">
      <c r="A59" s="148">
        <v>1</v>
      </c>
      <c r="B59" s="215" t="s">
        <v>18</v>
      </c>
      <c r="C59" s="172">
        <v>990358.57581725402</v>
      </c>
      <c r="D59" s="173">
        <f t="shared" si="0"/>
        <v>6.8751603592989415E-4</v>
      </c>
      <c r="E59" s="1"/>
      <c r="F59" s="252">
        <v>1452013.6694106681</v>
      </c>
      <c r="G59" s="173">
        <f t="shared" si="1"/>
        <v>6.1784647468474704E-4</v>
      </c>
      <c r="H59" s="173">
        <f t="shared" si="46"/>
        <v>0.89866482001264725</v>
      </c>
      <c r="I59" s="172" t="e">
        <f>VLOOKUP($B59,#REF!,24,FALSE)</f>
        <v>#REF!</v>
      </c>
      <c r="J59" s="173" t="e">
        <f t="shared" si="136"/>
        <v>#REF!</v>
      </c>
      <c r="K59" s="173" t="e">
        <f t="shared" si="47"/>
        <v>#REF!</v>
      </c>
      <c r="L59" s="172" t="e">
        <f t="shared" si="48"/>
        <v>#REF!</v>
      </c>
      <c r="M59" s="173" t="e">
        <f t="shared" si="137"/>
        <v>#REF!</v>
      </c>
      <c r="N59" s="173" t="e">
        <f t="shared" si="50"/>
        <v>#REF!</v>
      </c>
      <c r="O59" s="176"/>
      <c r="P59" s="253">
        <v>14</v>
      </c>
      <c r="Q59" s="173">
        <f t="shared" si="138"/>
        <v>7.7872955834909334E-4</v>
      </c>
      <c r="R59" s="172" t="e">
        <f>VLOOKUP($B59,#REF!,4,FALSE)</f>
        <v>#REF!</v>
      </c>
      <c r="S59" s="173" t="e">
        <f t="shared" si="139"/>
        <v>#REF!</v>
      </c>
      <c r="T59" s="172" t="e">
        <f t="shared" si="51"/>
        <v>#REF!</v>
      </c>
      <c r="U59" s="173" t="e">
        <f t="shared" si="52"/>
        <v>#REF!</v>
      </c>
      <c r="V59" s="173" t="e">
        <f t="shared" si="53"/>
        <v>#REF!</v>
      </c>
      <c r="W59" s="1"/>
      <c r="X59" s="189">
        <f>VLOOKUP($B59,'Average RAS salary'!$A$5:$D$62,4,FALSE)</f>
        <v>57255.516194331976</v>
      </c>
      <c r="Y59" s="253">
        <v>38149.589863544505</v>
      </c>
      <c r="Z59" s="252" t="s">
        <v>273</v>
      </c>
      <c r="AA59" s="252" t="s">
        <v>273</v>
      </c>
      <c r="AB59" s="173">
        <f t="shared" si="5"/>
        <v>0.65396436914053913</v>
      </c>
      <c r="AC59" s="172" t="e">
        <f>VLOOKUP($B59,#REF!,3,FALSE)</f>
        <v>#REF!</v>
      </c>
      <c r="AD59" s="172" t="e">
        <f>VLOOKUP($B59,#REF!,5,FALSE)</f>
        <v>#REF!</v>
      </c>
      <c r="AE59" s="172" t="e">
        <f>VLOOKUP($B59,#REF!,6,FALSE)</f>
        <v>#REF!</v>
      </c>
      <c r="AF59" s="173" t="e">
        <f t="shared" si="6"/>
        <v>#REF!</v>
      </c>
      <c r="AG59" s="172" t="e">
        <f t="shared" si="140"/>
        <v>#REF!</v>
      </c>
      <c r="AH59" s="173" t="e">
        <f t="shared" si="141"/>
        <v>#REF!</v>
      </c>
      <c r="AI59" s="173" t="e">
        <f t="shared" si="142"/>
        <v>#REF!</v>
      </c>
      <c r="AJ59" s="189">
        <v>51245.775585412666</v>
      </c>
      <c r="AK59" s="189">
        <f>VLOOKUP($B59,'Average RAS salary'!$A$5:$D$62,4,FALSE)</f>
        <v>57255.516194331976</v>
      </c>
      <c r="AL59" s="189">
        <f t="shared" si="55"/>
        <v>6009.74060891931</v>
      </c>
      <c r="AM59" s="173">
        <f t="shared" si="56"/>
        <v>0.11727289791726772</v>
      </c>
      <c r="AN59" s="189" t="e">
        <f t="shared" si="57"/>
        <v>#REF!</v>
      </c>
      <c r="AO59" s="189" t="e">
        <f t="shared" si="58"/>
        <v>#REF!</v>
      </c>
      <c r="AP59" s="189" t="e">
        <f t="shared" si="59"/>
        <v>#REF!</v>
      </c>
      <c r="AQ59" s="189" t="e">
        <f t="shared" si="135"/>
        <v>#REF!</v>
      </c>
      <c r="AR59" s="189" t="e">
        <f t="shared" si="60"/>
        <v>#REF!</v>
      </c>
      <c r="AS59" s="189" t="e">
        <f t="shared" si="143"/>
        <v>#REF!</v>
      </c>
      <c r="AT59" s="213" t="e">
        <f t="shared" si="61"/>
        <v>#REF!</v>
      </c>
      <c r="AU59" s="173" t="e">
        <f t="shared" si="62"/>
        <v>#REF!</v>
      </c>
      <c r="AV59" s="189"/>
      <c r="AW59" s="189">
        <f>VLOOKUP($B59,'Average RAS salary'!$A$5:$D$62,4,FALSE)</f>
        <v>57255.516194331976</v>
      </c>
      <c r="AX59" s="189" t="e">
        <f t="shared" si="144"/>
        <v>#REF!</v>
      </c>
      <c r="AY59" s="189">
        <v>39865.262959708809</v>
      </c>
      <c r="AZ59" s="189" t="e">
        <f t="shared" si="145"/>
        <v>#REF!</v>
      </c>
      <c r="BA59" s="189" t="e">
        <f t="shared" si="63"/>
        <v>#REF!</v>
      </c>
      <c r="BB59" s="189" t="e">
        <f t="shared" si="64"/>
        <v>#REF!</v>
      </c>
      <c r="BC59" s="189" t="e">
        <f t="shared" si="65"/>
        <v>#REF!</v>
      </c>
      <c r="BD59" s="213">
        <f t="shared" si="66"/>
        <v>-17390.253234623167</v>
      </c>
      <c r="BE59" s="173">
        <f t="shared" si="169"/>
        <v>-0.30373061655052758</v>
      </c>
      <c r="BF59" s="189"/>
      <c r="BG59" s="189">
        <f>VLOOKUP($B59,'Average RAS salary'!$A$5:$D$62,4,FALSE)</f>
        <v>57255.516194331976</v>
      </c>
      <c r="BH59" s="189" t="e">
        <f t="shared" si="68"/>
        <v>#REF!</v>
      </c>
      <c r="BI59" s="189" t="e">
        <f>$BG$65*#REF!</f>
        <v>#REF!</v>
      </c>
      <c r="BJ59" s="189" t="e">
        <f t="shared" si="69"/>
        <v>#REF!</v>
      </c>
      <c r="BK59" s="189" t="e">
        <f t="shared" si="146"/>
        <v>#REF!</v>
      </c>
      <c r="BL59" s="189" t="e">
        <f t="shared" si="147"/>
        <v>#REF!</v>
      </c>
      <c r="BM59" s="189" t="e">
        <f t="shared" si="70"/>
        <v>#REF!</v>
      </c>
      <c r="BN59" s="213" t="e">
        <f t="shared" si="71"/>
        <v>#REF!</v>
      </c>
      <c r="BO59" s="173" t="e">
        <f t="shared" si="72"/>
        <v>#REF!</v>
      </c>
      <c r="BP59" s="189"/>
      <c r="BQ59" s="189">
        <f>VLOOKUP($B59,'Average RAS salary'!$A$5:$D$62,4,FALSE)</f>
        <v>57255.516194331976</v>
      </c>
      <c r="BR59" s="189" t="e">
        <f t="shared" si="73"/>
        <v>#REF!</v>
      </c>
      <c r="BS59" s="189" t="e">
        <f>VLOOKUP($B59,#REF!,19,FALSE)*$BQ$65</f>
        <v>#REF!</v>
      </c>
      <c r="BT59" s="189" t="e">
        <f t="shared" si="74"/>
        <v>#REF!</v>
      </c>
      <c r="BU59" s="189" t="e">
        <f t="shared" si="75"/>
        <v>#REF!</v>
      </c>
      <c r="BV59" s="189" t="e">
        <f t="shared" si="76"/>
        <v>#REF!</v>
      </c>
      <c r="BW59" s="189" t="e">
        <f t="shared" si="77"/>
        <v>#REF!</v>
      </c>
      <c r="BX59" s="213" t="e">
        <f t="shared" si="78"/>
        <v>#REF!</v>
      </c>
      <c r="BY59" s="173" t="e">
        <f t="shared" si="79"/>
        <v>#REF!</v>
      </c>
      <c r="BZ59" s="189"/>
      <c r="CA59" s="189">
        <f>VLOOKUP($B59,'Average RAS salary'!$A$5:$D$62,4,FALSE)</f>
        <v>57255.516194331976</v>
      </c>
      <c r="CB59" s="189" t="e">
        <f t="shared" si="80"/>
        <v>#REF!</v>
      </c>
      <c r="CC59" s="189" t="e">
        <f>IF(VLOOKUP($B59,#REF!,7,FALSE)&gt;VLOOKUP($B59,#REF!,19,FALSE)*$CA$65,VLOOKUP($B59,#REF!,19,FALSE)*$CA$65,VLOOKUP($B59,#REF!,7,FALSE))</f>
        <v>#REF!</v>
      </c>
      <c r="CD59" s="189" t="e">
        <f t="shared" si="81"/>
        <v>#REF!</v>
      </c>
      <c r="CE59" s="189" t="e">
        <f t="shared" si="82"/>
        <v>#REF!</v>
      </c>
      <c r="CF59" s="189" t="e">
        <f t="shared" si="83"/>
        <v>#REF!</v>
      </c>
      <c r="CG59" s="189" t="e">
        <f t="shared" si="84"/>
        <v>#REF!</v>
      </c>
      <c r="CH59" s="213" t="e">
        <f t="shared" si="85"/>
        <v>#REF!</v>
      </c>
      <c r="CI59" s="173" t="e">
        <f t="shared" si="86"/>
        <v>#REF!</v>
      </c>
      <c r="CJ59" s="189"/>
      <c r="CK59" s="189">
        <f>VLOOKUP($B59,'Average RAS salary'!$A$5:$D$62,4,FALSE)</f>
        <v>57255.516194331976</v>
      </c>
      <c r="CL59" s="189" t="e">
        <f t="shared" si="87"/>
        <v>#REF!</v>
      </c>
      <c r="CM59" s="189" t="e">
        <f>IF($AY59&gt;VLOOKUP($B59,#REF!,19,FALSE)*$CK$65,VLOOKUP($B59,#REF!,19,FALSE)*$CK$65,$AY59)</f>
        <v>#REF!</v>
      </c>
      <c r="CN59" s="189" t="e">
        <f t="shared" si="88"/>
        <v>#REF!</v>
      </c>
      <c r="CO59" s="189" t="e">
        <f t="shared" si="89"/>
        <v>#REF!</v>
      </c>
      <c r="CP59" s="189" t="e">
        <f t="shared" si="90"/>
        <v>#REF!</v>
      </c>
      <c r="CQ59" s="189" t="e">
        <f t="shared" si="91"/>
        <v>#REF!</v>
      </c>
      <c r="CR59" s="213" t="e">
        <f t="shared" si="92"/>
        <v>#REF!</v>
      </c>
      <c r="CS59" s="173" t="e">
        <f t="shared" si="93"/>
        <v>#REF!</v>
      </c>
      <c r="CT59" s="1"/>
      <c r="CU59" s="254">
        <v>0.33377500278460653</v>
      </c>
      <c r="CV59" s="252">
        <v>13614.263126491649</v>
      </c>
      <c r="CW59" s="254">
        <v>0.38035000217850157</v>
      </c>
      <c r="CX59" s="255">
        <v>13461.909999999998</v>
      </c>
      <c r="CY59" s="190" t="e">
        <f>VLOOKUP($B59,#REF!,13,FALSE)</f>
        <v>#REF!</v>
      </c>
      <c r="CZ59" s="172" t="e">
        <f>VLOOKUP($B59,#REF!,14,FALSE)</f>
        <v>#REF!</v>
      </c>
      <c r="DA59" s="190" t="e">
        <f>VLOOKUP($B59,#REF!,15,FALSE)</f>
        <v>#REF!</v>
      </c>
      <c r="DB59" s="189" t="e">
        <f>VLOOKUP($B59,#REF!,16,FALSE)</f>
        <v>#REF!</v>
      </c>
      <c r="DC59" s="190" t="e">
        <f t="shared" si="94"/>
        <v>#REF!</v>
      </c>
      <c r="DD59" s="190" t="e">
        <f t="shared" si="95"/>
        <v>#REF!</v>
      </c>
      <c r="DE59" s="190" t="e">
        <f t="shared" si="96"/>
        <v>#REF!</v>
      </c>
      <c r="DF59" s="190" t="e">
        <f t="shared" si="97"/>
        <v>#REF!</v>
      </c>
      <c r="DG59" s="1"/>
      <c r="DH59" s="253" t="s">
        <v>273</v>
      </c>
      <c r="DI59" s="253">
        <v>103170.92115886114</v>
      </c>
      <c r="DJ59" s="173">
        <f t="shared" si="98"/>
        <v>0.20406370159281348</v>
      </c>
      <c r="DK59" s="172" t="e">
        <f>IF(VLOOKUP($B59,#REF!,6,FALSE)="Y","Yes","")</f>
        <v>#REF!</v>
      </c>
      <c r="DL59" s="172" t="e">
        <f>VLOOKUP($B59,#REF!,4,FALSE)</f>
        <v>#REF!</v>
      </c>
      <c r="DM59" s="173" t="e">
        <f t="shared" si="148"/>
        <v>#REF!</v>
      </c>
      <c r="DN59" s="1"/>
      <c r="DO59" s="172">
        <f t="shared" si="99"/>
        <v>1452013.6694106681</v>
      </c>
      <c r="DP59" s="252">
        <v>1390809.198765632</v>
      </c>
      <c r="DQ59" s="172">
        <f t="shared" si="100"/>
        <v>-61204.470645036083</v>
      </c>
      <c r="DR59" s="173">
        <f t="shared" si="149"/>
        <v>-4.215144246532973E-2</v>
      </c>
      <c r="DS59" s="172">
        <f t="shared" si="101"/>
        <v>1390809.198765632</v>
      </c>
      <c r="DT59" s="252">
        <v>1413668.0005562652</v>
      </c>
      <c r="DU59" s="172">
        <f t="shared" si="102"/>
        <v>22858.801790633239</v>
      </c>
      <c r="DV59" s="173">
        <f t="shared" si="103"/>
        <v>1.5742828233780325E-2</v>
      </c>
      <c r="DW59" s="172">
        <f t="shared" si="104"/>
        <v>1413668.0005562652</v>
      </c>
      <c r="DX59" s="252">
        <v>1420866.8780100311</v>
      </c>
      <c r="DY59" s="172">
        <f t="shared" si="105"/>
        <v>7198.8774537658319</v>
      </c>
      <c r="DZ59" s="173">
        <f t="shared" si="106"/>
        <v>4.9578579082438365E-3</v>
      </c>
      <c r="EA59" s="172">
        <f t="shared" si="107"/>
        <v>1420866.8780100311</v>
      </c>
      <c r="EB59" s="252">
        <v>1428189.7376134472</v>
      </c>
      <c r="EC59" s="172">
        <f t="shared" si="108"/>
        <v>7322.8596034161747</v>
      </c>
      <c r="ED59" s="173">
        <f t="shared" si="109"/>
        <v>5.0432442598066724E-3</v>
      </c>
      <c r="EE59" s="172">
        <f t="shared" si="110"/>
        <v>1428189.7376134472</v>
      </c>
      <c r="EF59" s="252">
        <v>1451893.0294106682</v>
      </c>
      <c r="EG59" s="172">
        <f t="shared" si="111"/>
        <v>23703.29179722094</v>
      </c>
      <c r="EH59" s="173">
        <f t="shared" si="112"/>
        <v>1.6324427446224695E-2</v>
      </c>
      <c r="EI59" s="172">
        <f t="shared" si="113"/>
        <v>1451893.0294106682</v>
      </c>
      <c r="EJ59" s="252">
        <v>1452013.6694106681</v>
      </c>
      <c r="EK59" s="172">
        <f t="shared" si="114"/>
        <v>120.63999999989755</v>
      </c>
      <c r="EL59" s="173">
        <f t="shared" si="115"/>
        <v>8.3084617274203736E-5</v>
      </c>
      <c r="EM59" s="172">
        <f t="shared" si="116"/>
        <v>0</v>
      </c>
      <c r="EN59" s="173">
        <f t="shared" si="150"/>
        <v>0</v>
      </c>
      <c r="EO59" s="214"/>
      <c r="EP59" s="273">
        <v>670626.86469331069</v>
      </c>
      <c r="EQ59" s="273">
        <v>670626.86469331069</v>
      </c>
      <c r="ER59" s="172">
        <f t="shared" si="117"/>
        <v>0</v>
      </c>
      <c r="ES59" s="173">
        <f t="shared" si="18"/>
        <v>0</v>
      </c>
      <c r="ET59" s="273">
        <v>421825.37471735739</v>
      </c>
      <c r="EU59" s="273">
        <v>421825.37471735739</v>
      </c>
      <c r="EV59" s="172">
        <f t="shared" si="118"/>
        <v>0</v>
      </c>
      <c r="EW59" s="173">
        <f t="shared" si="19"/>
        <v>0</v>
      </c>
      <c r="EX59" s="273">
        <v>414695.95999999996</v>
      </c>
      <c r="EY59" s="273">
        <v>414695.95999999996</v>
      </c>
      <c r="EZ59" s="172">
        <f t="shared" si="119"/>
        <v>0</v>
      </c>
      <c r="FA59" s="173">
        <f t="shared" si="20"/>
        <v>0</v>
      </c>
      <c r="FB59" s="172">
        <f t="shared" si="120"/>
        <v>670626.86469331069</v>
      </c>
      <c r="FC59" s="273">
        <v>679910.2482011402</v>
      </c>
      <c r="FD59" s="172">
        <f t="shared" si="121"/>
        <v>9283.3835078295087</v>
      </c>
      <c r="FE59" s="173">
        <f t="shared" si="21"/>
        <v>1.3842844652629539E-2</v>
      </c>
      <c r="FF59" s="172">
        <f t="shared" si="122"/>
        <v>421825.37471735739</v>
      </c>
      <c r="FG59" s="273">
        <v>424892.09778591013</v>
      </c>
      <c r="FH59" s="172">
        <f t="shared" si="123"/>
        <v>3066.723068552732</v>
      </c>
      <c r="FI59" s="173">
        <f t="shared" si="22"/>
        <v>7.2701246827732427E-3</v>
      </c>
      <c r="FJ59" s="172">
        <f t="shared" si="124"/>
        <v>679910.2482011402</v>
      </c>
      <c r="FK59" s="273">
        <v>798764.57718082599</v>
      </c>
      <c r="FL59" s="172">
        <f t="shared" si="125"/>
        <v>118854.32897968579</v>
      </c>
      <c r="FM59" s="173">
        <f t="shared" si="23"/>
        <v>0.17480885057129583</v>
      </c>
      <c r="FN59" s="172">
        <f t="shared" si="126"/>
        <v>424892.09778591013</v>
      </c>
      <c r="FO59" s="273">
        <v>466520.66024780803</v>
      </c>
      <c r="FP59" s="172">
        <f t="shared" si="127"/>
        <v>41628.562461897905</v>
      </c>
      <c r="FQ59" s="173">
        <f t="shared" si="24"/>
        <v>9.7974433223922269E-2</v>
      </c>
      <c r="FR59" s="172">
        <f t="shared" si="128"/>
        <v>466520.66024780803</v>
      </c>
      <c r="FS59" s="273">
        <v>495498.30259378871</v>
      </c>
      <c r="FT59" s="172">
        <f t="shared" si="129"/>
        <v>28977.642345980683</v>
      </c>
      <c r="FU59" s="173">
        <f t="shared" si="25"/>
        <v>6.2114381666587372E-2</v>
      </c>
      <c r="FV59" s="172">
        <f t="shared" si="26"/>
        <v>414695.95999999996</v>
      </c>
      <c r="FW59" s="273">
        <v>456705.2</v>
      </c>
      <c r="FX59" s="172">
        <f t="shared" si="130"/>
        <v>42009.240000000049</v>
      </c>
      <c r="FY59" s="173">
        <f t="shared" si="27"/>
        <v>0.10130130035508436</v>
      </c>
      <c r="FZ59" s="214"/>
      <c r="GA59" s="172">
        <f t="shared" si="151"/>
        <v>670626.86469331069</v>
      </c>
      <c r="GB59" s="172">
        <f t="shared" si="152"/>
        <v>0</v>
      </c>
      <c r="GC59" s="172">
        <f t="shared" si="153"/>
        <v>9283.3835078295087</v>
      </c>
      <c r="GD59" s="172">
        <f t="shared" si="154"/>
        <v>118854.32897968579</v>
      </c>
      <c r="GE59" s="172">
        <f t="shared" si="155"/>
        <v>128137.71248751529</v>
      </c>
      <c r="GF59" s="172">
        <f t="shared" si="156"/>
        <v>798764.57718082599</v>
      </c>
      <c r="GG59" s="173">
        <f t="shared" si="157"/>
        <v>0.19107154698628856</v>
      </c>
      <c r="GH59" s="244"/>
      <c r="GI59" s="172">
        <f t="shared" si="158"/>
        <v>421825.37471735739</v>
      </c>
      <c r="GJ59" s="172">
        <f t="shared" si="159"/>
        <v>0</v>
      </c>
      <c r="GK59" s="172">
        <f t="shared" si="160"/>
        <v>3066.723068552732</v>
      </c>
      <c r="GL59" s="172">
        <f t="shared" si="161"/>
        <v>41628.562461897905</v>
      </c>
      <c r="GM59" s="172">
        <f t="shared" si="162"/>
        <v>28977.642345980683</v>
      </c>
      <c r="GN59" s="172">
        <f t="shared" si="163"/>
        <v>73672.92787643132</v>
      </c>
      <c r="GO59" s="172">
        <f t="shared" si="164"/>
        <v>495498.30259378871</v>
      </c>
      <c r="GP59" s="173">
        <f t="shared" si="165"/>
        <v>0.17465266978259808</v>
      </c>
      <c r="GQ59" s="214"/>
      <c r="GR59" s="172">
        <f t="shared" si="166"/>
        <v>414695.95999999996</v>
      </c>
      <c r="GS59" s="172">
        <f t="shared" si="167"/>
        <v>0</v>
      </c>
      <c r="GT59" s="172">
        <f t="shared" si="168"/>
        <v>42009.240000000049</v>
      </c>
      <c r="GU59" s="172">
        <f t="shared" si="131"/>
        <v>42009.240000000049</v>
      </c>
      <c r="GV59" s="172">
        <f t="shared" si="132"/>
        <v>456705.2</v>
      </c>
      <c r="GW59" s="173">
        <f t="shared" si="133"/>
        <v>0.10130130035508436</v>
      </c>
      <c r="GX59" s="214"/>
      <c r="GY59" s="273">
        <v>-55134.530000000006</v>
      </c>
      <c r="GZ59" s="172" t="e">
        <f t="shared" si="134"/>
        <v>#REF!</v>
      </c>
      <c r="HA59" s="172" t="e">
        <f>-VLOOKUP($B59,#REF!,23,FALSE)</f>
        <v>#REF!</v>
      </c>
    </row>
    <row r="60" spans="1:209" ht="15" customHeight="1" x14ac:dyDescent="0.45">
      <c r="A60" s="148">
        <v>3</v>
      </c>
      <c r="B60" s="215" t="s">
        <v>51</v>
      </c>
      <c r="C60" s="172">
        <v>12293011.454763519</v>
      </c>
      <c r="D60" s="173">
        <f t="shared" si="0"/>
        <v>8.533921663722065E-3</v>
      </c>
      <c r="E60" s="1"/>
      <c r="F60" s="252">
        <v>24340689.881954104</v>
      </c>
      <c r="G60" s="173">
        <f t="shared" si="1"/>
        <v>1.035720926860411E-2</v>
      </c>
      <c r="H60" s="173">
        <f t="shared" si="46"/>
        <v>1.2136517859816889</v>
      </c>
      <c r="I60" s="172" t="e">
        <f>VLOOKUP($B60,#REF!,24,FALSE)</f>
        <v>#REF!</v>
      </c>
      <c r="J60" s="173" t="e">
        <f t="shared" si="136"/>
        <v>#REF!</v>
      </c>
      <c r="K60" s="173" t="e">
        <f t="shared" si="47"/>
        <v>#REF!</v>
      </c>
      <c r="L60" s="172" t="e">
        <f t="shared" si="48"/>
        <v>#REF!</v>
      </c>
      <c r="M60" s="173" t="e">
        <f t="shared" si="137"/>
        <v>#REF!</v>
      </c>
      <c r="N60" s="173" t="e">
        <f t="shared" si="50"/>
        <v>#REF!</v>
      </c>
      <c r="O60" s="176"/>
      <c r="P60" s="253">
        <v>247</v>
      </c>
      <c r="Q60" s="173">
        <f t="shared" si="138"/>
        <v>1.373901435087329E-2</v>
      </c>
      <c r="R60" s="172" t="e">
        <f>VLOOKUP($B60,#REF!,4,FALSE)</f>
        <v>#REF!</v>
      </c>
      <c r="S60" s="173" t="e">
        <f t="shared" si="139"/>
        <v>#REF!</v>
      </c>
      <c r="T60" s="172" t="e">
        <f t="shared" si="51"/>
        <v>#REF!</v>
      </c>
      <c r="U60" s="173" t="e">
        <f t="shared" si="52"/>
        <v>#REF!</v>
      </c>
      <c r="V60" s="173" t="e">
        <f t="shared" si="53"/>
        <v>#REF!</v>
      </c>
      <c r="W60" s="1"/>
      <c r="X60" s="189">
        <f>VLOOKUP($B60,'Average RAS salary'!$A$5:$D$62,4,FALSE)</f>
        <v>53553.602726449681</v>
      </c>
      <c r="Y60" s="253">
        <v>49179.855315883891</v>
      </c>
      <c r="Z60" s="252" t="s">
        <v>272</v>
      </c>
      <c r="AA60" s="252" t="s">
        <v>272</v>
      </c>
      <c r="AB60" s="173">
        <f t="shared" si="5"/>
        <v>0.84304636487871321</v>
      </c>
      <c r="AC60" s="172" t="e">
        <f>VLOOKUP($B60,#REF!,3,FALSE)</f>
        <v>#REF!</v>
      </c>
      <c r="AD60" s="172" t="e">
        <f>VLOOKUP($B60,#REF!,5,FALSE)</f>
        <v>#REF!</v>
      </c>
      <c r="AE60" s="172" t="e">
        <f>VLOOKUP($B60,#REF!,6,FALSE)</f>
        <v>#REF!</v>
      </c>
      <c r="AF60" s="173" t="e">
        <f t="shared" si="6"/>
        <v>#REF!</v>
      </c>
      <c r="AG60" s="172" t="e">
        <f t="shared" si="140"/>
        <v>#REF!</v>
      </c>
      <c r="AH60" s="173" t="e">
        <f t="shared" si="141"/>
        <v>#REF!</v>
      </c>
      <c r="AI60" s="173" t="e">
        <f t="shared" si="142"/>
        <v>#REF!</v>
      </c>
      <c r="AJ60" s="189">
        <v>46599.867336683397</v>
      </c>
      <c r="AK60" s="189">
        <f>VLOOKUP($B60,'Average RAS salary'!$A$5:$D$62,4,FALSE)</f>
        <v>53553.602726449681</v>
      </c>
      <c r="AL60" s="189">
        <f t="shared" si="55"/>
        <v>6953.7353897662833</v>
      </c>
      <c r="AM60" s="173">
        <f t="shared" si="56"/>
        <v>0.14922221429356528</v>
      </c>
      <c r="AN60" s="189" t="e">
        <f t="shared" si="57"/>
        <v>#REF!</v>
      </c>
      <c r="AO60" s="189" t="e">
        <f t="shared" si="58"/>
        <v>#REF!</v>
      </c>
      <c r="AP60" s="189" t="e">
        <f t="shared" si="59"/>
        <v>#REF!</v>
      </c>
      <c r="AQ60" s="189" t="e">
        <f t="shared" si="135"/>
        <v>#REF!</v>
      </c>
      <c r="AR60" s="189" t="e">
        <f t="shared" si="60"/>
        <v>#REF!</v>
      </c>
      <c r="AS60" s="189" t="e">
        <f t="shared" si="143"/>
        <v>#REF!</v>
      </c>
      <c r="AT60" s="213" t="e">
        <f t="shared" si="61"/>
        <v>#REF!</v>
      </c>
      <c r="AU60" s="173" t="e">
        <f t="shared" si="62"/>
        <v>#REF!</v>
      </c>
      <c r="AV60" s="189"/>
      <c r="AW60" s="189">
        <f>VLOOKUP($B60,'Average RAS salary'!$A$5:$D$62,4,FALSE)</f>
        <v>53553.602726449681</v>
      </c>
      <c r="AX60" s="189" t="e">
        <f t="shared" si="144"/>
        <v>#REF!</v>
      </c>
      <c r="AY60" s="189">
        <v>42631.798887916695</v>
      </c>
      <c r="AZ60" s="189" t="e">
        <f t="shared" si="145"/>
        <v>#REF!</v>
      </c>
      <c r="BA60" s="189" t="e">
        <f t="shared" si="63"/>
        <v>#REF!</v>
      </c>
      <c r="BB60" s="189" t="e">
        <f t="shared" si="64"/>
        <v>#REF!</v>
      </c>
      <c r="BC60" s="189" t="e">
        <f t="shared" si="65"/>
        <v>#REF!</v>
      </c>
      <c r="BD60" s="213">
        <f t="shared" si="66"/>
        <v>-10921.803838532986</v>
      </c>
      <c r="BE60" s="173">
        <f t="shared" si="169"/>
        <v>-0.2039415330154585</v>
      </c>
      <c r="BF60" s="189"/>
      <c r="BG60" s="189">
        <f>VLOOKUP($B60,'Average RAS salary'!$A$5:$D$62,4,FALSE)</f>
        <v>53553.602726449681</v>
      </c>
      <c r="BH60" s="189" t="e">
        <f t="shared" si="68"/>
        <v>#REF!</v>
      </c>
      <c r="BI60" s="189" t="e">
        <f>$BG$65*#REF!</f>
        <v>#REF!</v>
      </c>
      <c r="BJ60" s="189" t="e">
        <f t="shared" si="69"/>
        <v>#REF!</v>
      </c>
      <c r="BK60" s="189" t="e">
        <f t="shared" si="146"/>
        <v>#REF!</v>
      </c>
      <c r="BL60" s="189" t="e">
        <f t="shared" si="147"/>
        <v>#REF!</v>
      </c>
      <c r="BM60" s="189" t="e">
        <f t="shared" si="70"/>
        <v>#REF!</v>
      </c>
      <c r="BN60" s="213" t="e">
        <f t="shared" si="71"/>
        <v>#REF!</v>
      </c>
      <c r="BO60" s="173" t="e">
        <f t="shared" si="72"/>
        <v>#REF!</v>
      </c>
      <c r="BP60" s="189"/>
      <c r="BQ60" s="189">
        <f>VLOOKUP($B60,'Average RAS salary'!$A$5:$D$62,4,FALSE)</f>
        <v>53553.602726449681</v>
      </c>
      <c r="BR60" s="189" t="e">
        <f t="shared" si="73"/>
        <v>#REF!</v>
      </c>
      <c r="BS60" s="189" t="e">
        <f>VLOOKUP($B60,#REF!,19,FALSE)*$BQ$65</f>
        <v>#REF!</v>
      </c>
      <c r="BT60" s="189" t="e">
        <f t="shared" si="74"/>
        <v>#REF!</v>
      </c>
      <c r="BU60" s="189" t="e">
        <f t="shared" si="75"/>
        <v>#REF!</v>
      </c>
      <c r="BV60" s="189" t="e">
        <f t="shared" si="76"/>
        <v>#REF!</v>
      </c>
      <c r="BW60" s="189" t="e">
        <f t="shared" si="77"/>
        <v>#REF!</v>
      </c>
      <c r="BX60" s="213" t="e">
        <f t="shared" si="78"/>
        <v>#REF!</v>
      </c>
      <c r="BY60" s="173" t="e">
        <f t="shared" si="79"/>
        <v>#REF!</v>
      </c>
      <c r="BZ60" s="189"/>
      <c r="CA60" s="189">
        <f>VLOOKUP($B60,'Average RAS salary'!$A$5:$D$62,4,FALSE)</f>
        <v>53553.602726449681</v>
      </c>
      <c r="CB60" s="189" t="e">
        <f t="shared" si="80"/>
        <v>#REF!</v>
      </c>
      <c r="CC60" s="189" t="e">
        <f>IF(VLOOKUP($B60,#REF!,7,FALSE)&gt;VLOOKUP($B60,#REF!,19,FALSE)*$CA$65,VLOOKUP($B60,#REF!,19,FALSE)*$CA$65,VLOOKUP($B60,#REF!,7,FALSE))</f>
        <v>#REF!</v>
      </c>
      <c r="CD60" s="189" t="e">
        <f t="shared" si="81"/>
        <v>#REF!</v>
      </c>
      <c r="CE60" s="189" t="e">
        <f t="shared" si="82"/>
        <v>#REF!</v>
      </c>
      <c r="CF60" s="189" t="e">
        <f t="shared" si="83"/>
        <v>#REF!</v>
      </c>
      <c r="CG60" s="189" t="e">
        <f t="shared" si="84"/>
        <v>#REF!</v>
      </c>
      <c r="CH60" s="213" t="e">
        <f t="shared" si="85"/>
        <v>#REF!</v>
      </c>
      <c r="CI60" s="173" t="e">
        <f t="shared" si="86"/>
        <v>#REF!</v>
      </c>
      <c r="CJ60" s="189"/>
      <c r="CK60" s="189">
        <f>VLOOKUP($B60,'Average RAS salary'!$A$5:$D$62,4,FALSE)</f>
        <v>53553.602726449681</v>
      </c>
      <c r="CL60" s="189" t="e">
        <f t="shared" si="87"/>
        <v>#REF!</v>
      </c>
      <c r="CM60" s="189" t="e">
        <f>IF($AY60&gt;VLOOKUP($B60,#REF!,19,FALSE)*$CK$65,VLOOKUP($B60,#REF!,19,FALSE)*$CK$65,$AY60)</f>
        <v>#REF!</v>
      </c>
      <c r="CN60" s="189" t="e">
        <f t="shared" si="88"/>
        <v>#REF!</v>
      </c>
      <c r="CO60" s="189" t="e">
        <f t="shared" si="89"/>
        <v>#REF!</v>
      </c>
      <c r="CP60" s="189" t="e">
        <f t="shared" si="90"/>
        <v>#REF!</v>
      </c>
      <c r="CQ60" s="189" t="e">
        <f t="shared" si="91"/>
        <v>#REF!</v>
      </c>
      <c r="CR60" s="213" t="e">
        <f t="shared" si="92"/>
        <v>#REF!</v>
      </c>
      <c r="CS60" s="173" t="e">
        <f t="shared" si="93"/>
        <v>#REF!</v>
      </c>
      <c r="CT60" s="1"/>
      <c r="CU60" s="254">
        <v>0.20646450132070637</v>
      </c>
      <c r="CV60" s="252">
        <v>20182.109521276623</v>
      </c>
      <c r="CW60" s="254">
        <v>0.20892526631547639</v>
      </c>
      <c r="CX60" s="255">
        <v>20743.41</v>
      </c>
      <c r="CY60" s="190" t="e">
        <f>VLOOKUP($B60,#REF!,13,FALSE)</f>
        <v>#REF!</v>
      </c>
      <c r="CZ60" s="172" t="e">
        <f>VLOOKUP($B60,#REF!,14,FALSE)</f>
        <v>#REF!</v>
      </c>
      <c r="DA60" s="190" t="e">
        <f>VLOOKUP($B60,#REF!,15,FALSE)</f>
        <v>#REF!</v>
      </c>
      <c r="DB60" s="189" t="e">
        <f>VLOOKUP($B60,#REF!,16,FALSE)</f>
        <v>#REF!</v>
      </c>
      <c r="DC60" s="190" t="e">
        <f t="shared" si="94"/>
        <v>#REF!</v>
      </c>
      <c r="DD60" s="190" t="e">
        <f t="shared" si="95"/>
        <v>#REF!</v>
      </c>
      <c r="DE60" s="190" t="e">
        <f t="shared" si="96"/>
        <v>#REF!</v>
      </c>
      <c r="DF60" s="190" t="e">
        <f t="shared" si="97"/>
        <v>#REF!</v>
      </c>
      <c r="DG60" s="1"/>
      <c r="DH60" s="253" t="s">
        <v>272</v>
      </c>
      <c r="DI60" s="253">
        <v>0</v>
      </c>
      <c r="DJ60" s="173">
        <f t="shared" si="98"/>
        <v>0</v>
      </c>
      <c r="DK60" s="172" t="e">
        <f>IF(VLOOKUP($B60,#REF!,6,FALSE)="Y","Yes","")</f>
        <v>#REF!</v>
      </c>
      <c r="DL60" s="172" t="e">
        <f>VLOOKUP($B60,#REF!,4,FALSE)</f>
        <v>#REF!</v>
      </c>
      <c r="DM60" s="173" t="e">
        <f t="shared" si="148"/>
        <v>#REF!</v>
      </c>
      <c r="DN60" s="1"/>
      <c r="DO60" s="172">
        <f t="shared" si="99"/>
        <v>24340689.881954104</v>
      </c>
      <c r="DP60" s="252">
        <v>23249994.924068868</v>
      </c>
      <c r="DQ60" s="172">
        <f t="shared" si="100"/>
        <v>-1090694.9578852355</v>
      </c>
      <c r="DR60" s="173">
        <f t="shared" si="149"/>
        <v>-4.4809533467408569E-2</v>
      </c>
      <c r="DS60" s="172">
        <f t="shared" si="101"/>
        <v>23249994.924068868</v>
      </c>
      <c r="DT60" s="252">
        <v>23618684.7452439</v>
      </c>
      <c r="DU60" s="172">
        <f t="shared" si="102"/>
        <v>368689.82117503136</v>
      </c>
      <c r="DV60" s="173">
        <f t="shared" si="103"/>
        <v>1.5147057169007095E-2</v>
      </c>
      <c r="DW60" s="172">
        <f t="shared" si="104"/>
        <v>23618684.7452439</v>
      </c>
      <c r="DX60" s="252">
        <v>23938739.511313908</v>
      </c>
      <c r="DY60" s="172">
        <f t="shared" si="105"/>
        <v>320054.76607000828</v>
      </c>
      <c r="DZ60" s="173">
        <f t="shared" si="106"/>
        <v>1.314896034673582E-2</v>
      </c>
      <c r="EA60" s="172">
        <f t="shared" si="107"/>
        <v>23938739.511313908</v>
      </c>
      <c r="EB60" s="252">
        <v>24172371.066990688</v>
      </c>
      <c r="EC60" s="172">
        <f t="shared" si="108"/>
        <v>233631.55567678064</v>
      </c>
      <c r="ED60" s="173">
        <f t="shared" si="109"/>
        <v>9.5983949842766078E-3</v>
      </c>
      <c r="EE60" s="172">
        <f t="shared" si="110"/>
        <v>24172371.066990688</v>
      </c>
      <c r="EF60" s="252">
        <v>24333875.247822776</v>
      </c>
      <c r="EG60" s="172">
        <f t="shared" si="111"/>
        <v>161504.18083208799</v>
      </c>
      <c r="EH60" s="173">
        <f t="shared" si="112"/>
        <v>6.6351521512060868E-3</v>
      </c>
      <c r="EI60" s="172">
        <f t="shared" si="113"/>
        <v>24333875.247822776</v>
      </c>
      <c r="EJ60" s="252">
        <v>24340689.881954104</v>
      </c>
      <c r="EK60" s="172">
        <f t="shared" si="114"/>
        <v>6814.6341313272715</v>
      </c>
      <c r="EL60" s="173">
        <f t="shared" si="115"/>
        <v>2.7996881618296118E-4</v>
      </c>
      <c r="EM60" s="172">
        <f t="shared" si="116"/>
        <v>0</v>
      </c>
      <c r="EN60" s="173">
        <f t="shared" si="150"/>
        <v>0</v>
      </c>
      <c r="EO60" s="214"/>
      <c r="EP60" s="273">
        <v>12259665.356490128</v>
      </c>
      <c r="EQ60" s="273">
        <v>12210485.501174243</v>
      </c>
      <c r="ER60" s="172">
        <f t="shared" si="117"/>
        <v>-49179.855315884575</v>
      </c>
      <c r="ES60" s="173">
        <f t="shared" si="18"/>
        <v>-4.0115169448609227E-3</v>
      </c>
      <c r="ET60" s="273">
        <v>7540324.1639752183</v>
      </c>
      <c r="EU60" s="273">
        <v>7509988.1601511221</v>
      </c>
      <c r="EV60" s="172">
        <f t="shared" si="118"/>
        <v>-30336.003824096173</v>
      </c>
      <c r="EW60" s="173">
        <f t="shared" si="19"/>
        <v>-4.0231697158366192E-3</v>
      </c>
      <c r="EX60" s="273">
        <v>5172459.1100000003</v>
      </c>
      <c r="EY60" s="273">
        <v>5151517.9800000004</v>
      </c>
      <c r="EZ60" s="172">
        <f t="shared" si="119"/>
        <v>-20941.129999999888</v>
      </c>
      <c r="FA60" s="173">
        <f t="shared" si="20"/>
        <v>-4.0485829959513954E-3</v>
      </c>
      <c r="FB60" s="172">
        <f t="shared" si="120"/>
        <v>12210485.501174243</v>
      </c>
      <c r="FC60" s="273">
        <v>12454818.635662282</v>
      </c>
      <c r="FD60" s="172">
        <f t="shared" si="121"/>
        <v>244333.13448803872</v>
      </c>
      <c r="FE60" s="173">
        <f t="shared" si="21"/>
        <v>2.0010108071832358E-2</v>
      </c>
      <c r="FF60" s="172">
        <f t="shared" si="122"/>
        <v>7509988.1601511221</v>
      </c>
      <c r="FG60" s="273">
        <v>7560528.7417641077</v>
      </c>
      <c r="FH60" s="172">
        <f t="shared" si="123"/>
        <v>50540.581612985581</v>
      </c>
      <c r="FI60" s="173">
        <f t="shared" si="22"/>
        <v>6.7297817966158503E-3</v>
      </c>
      <c r="FJ60" s="172">
        <f t="shared" si="124"/>
        <v>12454818.635662282</v>
      </c>
      <c r="FK60" s="273">
        <v>13296228.106871335</v>
      </c>
      <c r="FL60" s="172">
        <f t="shared" si="125"/>
        <v>841409.47120905295</v>
      </c>
      <c r="FM60" s="173">
        <f t="shared" si="23"/>
        <v>6.7556942884725607E-2</v>
      </c>
      <c r="FN60" s="172">
        <f t="shared" si="126"/>
        <v>7560528.7417641077</v>
      </c>
      <c r="FO60" s="273">
        <v>7734561.1205217605</v>
      </c>
      <c r="FP60" s="172">
        <f t="shared" si="127"/>
        <v>174032.37875765283</v>
      </c>
      <c r="FQ60" s="173">
        <f t="shared" si="24"/>
        <v>2.3018546017331273E-2</v>
      </c>
      <c r="FR60" s="172">
        <f t="shared" si="128"/>
        <v>7734561.1205217605</v>
      </c>
      <c r="FS60" s="273">
        <v>8052706.6975508872</v>
      </c>
      <c r="FT60" s="172">
        <f t="shared" si="129"/>
        <v>318145.5770291267</v>
      </c>
      <c r="FU60" s="173">
        <f t="shared" si="25"/>
        <v>4.1132983768788829E-2</v>
      </c>
      <c r="FV60" s="172">
        <f t="shared" si="26"/>
        <v>5151517.9800000004</v>
      </c>
      <c r="FW60" s="273">
        <v>5597941.5600000005</v>
      </c>
      <c r="FX60" s="172">
        <f t="shared" si="130"/>
        <v>446423.58000000007</v>
      </c>
      <c r="FY60" s="173">
        <f t="shared" si="27"/>
        <v>8.6658647360481511E-2</v>
      </c>
      <c r="FZ60" s="214"/>
      <c r="GA60" s="172">
        <f t="shared" si="151"/>
        <v>12259665.356490128</v>
      </c>
      <c r="GB60" s="172">
        <f t="shared" si="152"/>
        <v>-49179.855315884575</v>
      </c>
      <c r="GC60" s="172">
        <f t="shared" si="153"/>
        <v>244333.13448803872</v>
      </c>
      <c r="GD60" s="172">
        <f t="shared" si="154"/>
        <v>841409.47120905295</v>
      </c>
      <c r="GE60" s="172">
        <f t="shared" si="155"/>
        <v>1036562.7503812071</v>
      </c>
      <c r="GF60" s="172">
        <f t="shared" si="156"/>
        <v>13296228.106871335</v>
      </c>
      <c r="GG60" s="173">
        <f t="shared" si="157"/>
        <v>8.4550656175330474E-2</v>
      </c>
      <c r="GH60" s="244"/>
      <c r="GI60" s="172">
        <f t="shared" si="158"/>
        <v>7540324.1639752183</v>
      </c>
      <c r="GJ60" s="172">
        <f t="shared" si="159"/>
        <v>-30336.003824096173</v>
      </c>
      <c r="GK60" s="172">
        <f t="shared" si="160"/>
        <v>50540.581612985581</v>
      </c>
      <c r="GL60" s="172">
        <f t="shared" si="161"/>
        <v>174032.37875765283</v>
      </c>
      <c r="GM60" s="172">
        <f t="shared" si="162"/>
        <v>318145.5770291267</v>
      </c>
      <c r="GN60" s="172">
        <f t="shared" si="163"/>
        <v>512382.53357566893</v>
      </c>
      <c r="GO60" s="172">
        <f t="shared" si="164"/>
        <v>8052706.6975508872</v>
      </c>
      <c r="GP60" s="173">
        <f t="shared" si="165"/>
        <v>6.7952321734871354E-2</v>
      </c>
      <c r="GQ60" s="214"/>
      <c r="GR60" s="172">
        <f t="shared" si="166"/>
        <v>5172459.1100000003</v>
      </c>
      <c r="GS60" s="172">
        <f t="shared" si="167"/>
        <v>-20941.129999999888</v>
      </c>
      <c r="GT60" s="172">
        <f t="shared" si="168"/>
        <v>446423.58000000007</v>
      </c>
      <c r="GU60" s="172">
        <f t="shared" si="131"/>
        <v>425482.45000000019</v>
      </c>
      <c r="GV60" s="172">
        <f t="shared" si="132"/>
        <v>5597941.5600000005</v>
      </c>
      <c r="GW60" s="173">
        <f t="shared" si="133"/>
        <v>8.225921963837432E-2</v>
      </c>
      <c r="GX60" s="214"/>
      <c r="GY60" s="273">
        <v>-631758.7485112414</v>
      </c>
      <c r="GZ60" s="172" t="e">
        <f t="shared" si="134"/>
        <v>#REF!</v>
      </c>
      <c r="HA60" s="172" t="e">
        <f>-VLOOKUP($B60,#REF!,23,FALSE)</f>
        <v>#REF!</v>
      </c>
    </row>
    <row r="61" spans="1:209" ht="15" customHeight="1" x14ac:dyDescent="0.45">
      <c r="A61" s="148">
        <v>2</v>
      </c>
      <c r="B61" s="212" t="s">
        <v>38</v>
      </c>
      <c r="C61" s="172">
        <v>2589802.5166776036</v>
      </c>
      <c r="D61" s="173">
        <f t="shared" si="0"/>
        <v>1.7978647366567583E-3</v>
      </c>
      <c r="E61" s="1"/>
      <c r="F61" s="252">
        <v>3628226.7352111787</v>
      </c>
      <c r="G61" s="173">
        <f t="shared" si="1"/>
        <v>1.543847103462197E-3</v>
      </c>
      <c r="H61" s="173">
        <f t="shared" si="46"/>
        <v>0.85871148812511733</v>
      </c>
      <c r="I61" s="172" t="e">
        <f>VLOOKUP($B61,#REF!,24,FALSE)</f>
        <v>#REF!</v>
      </c>
      <c r="J61" s="173" t="e">
        <f t="shared" si="136"/>
        <v>#REF!</v>
      </c>
      <c r="K61" s="173" t="e">
        <f t="shared" si="47"/>
        <v>#REF!</v>
      </c>
      <c r="L61" s="172" t="e">
        <f t="shared" si="48"/>
        <v>#REF!</v>
      </c>
      <c r="M61" s="173" t="e">
        <f t="shared" si="137"/>
        <v>#REF!</v>
      </c>
      <c r="N61" s="173" t="e">
        <f t="shared" si="50"/>
        <v>#REF!</v>
      </c>
      <c r="O61" s="176"/>
      <c r="P61" s="253">
        <v>39</v>
      </c>
      <c r="Q61" s="173">
        <f t="shared" si="138"/>
        <v>2.1693180554010457E-3</v>
      </c>
      <c r="R61" s="172" t="e">
        <f>VLOOKUP($B61,#REF!,4,FALSE)</f>
        <v>#REF!</v>
      </c>
      <c r="S61" s="173" t="e">
        <f t="shared" si="139"/>
        <v>#REF!</v>
      </c>
      <c r="T61" s="172" t="e">
        <f t="shared" si="51"/>
        <v>#REF!</v>
      </c>
      <c r="U61" s="173" t="e">
        <f t="shared" si="52"/>
        <v>#REF!</v>
      </c>
      <c r="V61" s="173" t="e">
        <f t="shared" si="53"/>
        <v>#REF!</v>
      </c>
      <c r="W61" s="1"/>
      <c r="X61" s="189">
        <f>VLOOKUP($B61,'Average RAS salary'!$A$5:$D$62,4,FALSE)</f>
        <v>48290.26090909091</v>
      </c>
      <c r="Y61" s="253">
        <v>47414.102728137914</v>
      </c>
      <c r="Z61" s="252" t="s">
        <v>273</v>
      </c>
      <c r="AA61" s="252" t="s">
        <v>272</v>
      </c>
      <c r="AB61" s="173">
        <f t="shared" si="5"/>
        <v>0.81277764426509957</v>
      </c>
      <c r="AC61" s="172" t="e">
        <f>VLOOKUP($B61,#REF!,3,FALSE)</f>
        <v>#REF!</v>
      </c>
      <c r="AD61" s="172" t="e">
        <f>VLOOKUP($B61,#REF!,5,FALSE)</f>
        <v>#REF!</v>
      </c>
      <c r="AE61" s="172" t="e">
        <f>VLOOKUP($B61,#REF!,6,FALSE)</f>
        <v>#REF!</v>
      </c>
      <c r="AF61" s="173" t="e">
        <f t="shared" si="6"/>
        <v>#REF!</v>
      </c>
      <c r="AG61" s="172" t="e">
        <f t="shared" si="140"/>
        <v>#REF!</v>
      </c>
      <c r="AH61" s="173" t="e">
        <f t="shared" si="141"/>
        <v>#REF!</v>
      </c>
      <c r="AI61" s="173" t="e">
        <f t="shared" si="142"/>
        <v>#REF!</v>
      </c>
      <c r="AJ61" s="189">
        <v>52131.206934306574</v>
      </c>
      <c r="AK61" s="189">
        <f>VLOOKUP($B61,'Average RAS salary'!$A$5:$D$62,4,FALSE)</f>
        <v>48290.26090909091</v>
      </c>
      <c r="AL61" s="189">
        <f t="shared" si="55"/>
        <v>-3840.9460252156641</v>
      </c>
      <c r="AM61" s="173">
        <f t="shared" si="56"/>
        <v>-7.3678440440787293E-2</v>
      </c>
      <c r="AN61" s="189" t="e">
        <f t="shared" si="57"/>
        <v>#REF!</v>
      </c>
      <c r="AO61" s="189" t="e">
        <f t="shared" si="58"/>
        <v>#REF!</v>
      </c>
      <c r="AP61" s="189" t="e">
        <f t="shared" si="59"/>
        <v>#REF!</v>
      </c>
      <c r="AQ61" s="189" t="e">
        <f t="shared" si="135"/>
        <v>#REF!</v>
      </c>
      <c r="AR61" s="189" t="e">
        <f t="shared" si="60"/>
        <v>#REF!</v>
      </c>
      <c r="AS61" s="189" t="e">
        <f t="shared" si="143"/>
        <v>#REF!</v>
      </c>
      <c r="AT61" s="213" t="e">
        <f t="shared" si="61"/>
        <v>#REF!</v>
      </c>
      <c r="AU61" s="173" t="e">
        <f t="shared" si="62"/>
        <v>#REF!</v>
      </c>
      <c r="AV61" s="189"/>
      <c r="AW61" s="189">
        <f>VLOOKUP($B61,'Average RAS salary'!$A$5:$D$62,4,FALSE)</f>
        <v>48290.26090909091</v>
      </c>
      <c r="AX61" s="189" t="e">
        <f t="shared" si="144"/>
        <v>#REF!</v>
      </c>
      <c r="AY61" s="189">
        <v>42704.519156381284</v>
      </c>
      <c r="AZ61" s="189" t="e">
        <f t="shared" si="145"/>
        <v>#REF!</v>
      </c>
      <c r="BA61" s="189" t="e">
        <f t="shared" si="63"/>
        <v>#REF!</v>
      </c>
      <c r="BB61" s="189" t="e">
        <f t="shared" si="64"/>
        <v>#REF!</v>
      </c>
      <c r="BC61" s="189" t="e">
        <f t="shared" si="65"/>
        <v>#REF!</v>
      </c>
      <c r="BD61" s="213">
        <f t="shared" si="66"/>
        <v>-5585.7417527096259</v>
      </c>
      <c r="BE61" s="173">
        <f t="shared" si="169"/>
        <v>-0.11567015061743183</v>
      </c>
      <c r="BF61" s="189"/>
      <c r="BG61" s="189">
        <f>VLOOKUP($B61,'Average RAS salary'!$A$5:$D$62,4,FALSE)</f>
        <v>48290.26090909091</v>
      </c>
      <c r="BH61" s="189" t="e">
        <f t="shared" si="68"/>
        <v>#REF!</v>
      </c>
      <c r="BI61" s="189" t="e">
        <f>$BG$65*#REF!</f>
        <v>#REF!</v>
      </c>
      <c r="BJ61" s="189" t="e">
        <f t="shared" si="69"/>
        <v>#REF!</v>
      </c>
      <c r="BK61" s="189" t="e">
        <f t="shared" si="146"/>
        <v>#REF!</v>
      </c>
      <c r="BL61" s="189" t="e">
        <f t="shared" si="147"/>
        <v>#REF!</v>
      </c>
      <c r="BM61" s="189" t="e">
        <f t="shared" si="70"/>
        <v>#REF!</v>
      </c>
      <c r="BN61" s="213" t="e">
        <f t="shared" si="71"/>
        <v>#REF!</v>
      </c>
      <c r="BO61" s="173" t="e">
        <f t="shared" si="72"/>
        <v>#REF!</v>
      </c>
      <c r="BP61" s="189"/>
      <c r="BQ61" s="189">
        <f>VLOOKUP($B61,'Average RAS salary'!$A$5:$D$62,4,FALSE)</f>
        <v>48290.26090909091</v>
      </c>
      <c r="BR61" s="189" t="e">
        <f t="shared" si="73"/>
        <v>#REF!</v>
      </c>
      <c r="BS61" s="189" t="e">
        <f>VLOOKUP($B61,#REF!,19,FALSE)*$BQ$65</f>
        <v>#REF!</v>
      </c>
      <c r="BT61" s="189" t="e">
        <f t="shared" si="74"/>
        <v>#REF!</v>
      </c>
      <c r="BU61" s="189" t="e">
        <f t="shared" si="75"/>
        <v>#REF!</v>
      </c>
      <c r="BV61" s="189" t="e">
        <f t="shared" si="76"/>
        <v>#REF!</v>
      </c>
      <c r="BW61" s="189" t="e">
        <f t="shared" si="77"/>
        <v>#REF!</v>
      </c>
      <c r="BX61" s="213" t="e">
        <f t="shared" si="78"/>
        <v>#REF!</v>
      </c>
      <c r="BY61" s="173" t="e">
        <f t="shared" si="79"/>
        <v>#REF!</v>
      </c>
      <c r="BZ61" s="189"/>
      <c r="CA61" s="189">
        <f>VLOOKUP($B61,'Average RAS salary'!$A$5:$D$62,4,FALSE)</f>
        <v>48290.26090909091</v>
      </c>
      <c r="CB61" s="189" t="e">
        <f t="shared" si="80"/>
        <v>#REF!</v>
      </c>
      <c r="CC61" s="189" t="e">
        <f>IF(VLOOKUP($B61,#REF!,7,FALSE)&gt;VLOOKUP($B61,#REF!,19,FALSE)*$CA$65,VLOOKUP($B61,#REF!,19,FALSE)*$CA$65,VLOOKUP($B61,#REF!,7,FALSE))</f>
        <v>#REF!</v>
      </c>
      <c r="CD61" s="189" t="e">
        <f t="shared" si="81"/>
        <v>#REF!</v>
      </c>
      <c r="CE61" s="189" t="e">
        <f t="shared" si="82"/>
        <v>#REF!</v>
      </c>
      <c r="CF61" s="189" t="e">
        <f t="shared" si="83"/>
        <v>#REF!</v>
      </c>
      <c r="CG61" s="189" t="e">
        <f t="shared" si="84"/>
        <v>#REF!</v>
      </c>
      <c r="CH61" s="213" t="e">
        <f t="shared" si="85"/>
        <v>#REF!</v>
      </c>
      <c r="CI61" s="173" t="e">
        <f t="shared" si="86"/>
        <v>#REF!</v>
      </c>
      <c r="CJ61" s="189"/>
      <c r="CK61" s="189">
        <f>VLOOKUP($B61,'Average RAS salary'!$A$5:$D$62,4,FALSE)</f>
        <v>48290.26090909091</v>
      </c>
      <c r="CL61" s="189" t="e">
        <f t="shared" si="87"/>
        <v>#REF!</v>
      </c>
      <c r="CM61" s="189" t="e">
        <f>IF($AY61&gt;VLOOKUP($B61,#REF!,19,FALSE)*$CK$65,VLOOKUP($B61,#REF!,19,FALSE)*$CK$65,$AY61)</f>
        <v>#REF!</v>
      </c>
      <c r="CN61" s="189" t="e">
        <f t="shared" si="88"/>
        <v>#REF!</v>
      </c>
      <c r="CO61" s="189" t="e">
        <f t="shared" si="89"/>
        <v>#REF!</v>
      </c>
      <c r="CP61" s="189" t="e">
        <f t="shared" si="90"/>
        <v>#REF!</v>
      </c>
      <c r="CQ61" s="189" t="e">
        <f t="shared" si="91"/>
        <v>#REF!</v>
      </c>
      <c r="CR61" s="213" t="e">
        <f t="shared" si="92"/>
        <v>#REF!</v>
      </c>
      <c r="CS61" s="173" t="e">
        <f t="shared" si="93"/>
        <v>#REF!</v>
      </c>
      <c r="CT61" s="1"/>
      <c r="CU61" s="254">
        <v>0.29055523105319109</v>
      </c>
      <c r="CV61" s="252">
        <v>13811.884</v>
      </c>
      <c r="CW61" s="254">
        <v>0.3011477149362089</v>
      </c>
      <c r="CX61" s="255">
        <v>13848.670666666667</v>
      </c>
      <c r="CY61" s="190" t="e">
        <f>VLOOKUP($B61,#REF!,13,FALSE)</f>
        <v>#REF!</v>
      </c>
      <c r="CZ61" s="172" t="e">
        <f>VLOOKUP($B61,#REF!,14,FALSE)</f>
        <v>#REF!</v>
      </c>
      <c r="DA61" s="190" t="e">
        <f>VLOOKUP($B61,#REF!,15,FALSE)</f>
        <v>#REF!</v>
      </c>
      <c r="DB61" s="189" t="e">
        <f>VLOOKUP($B61,#REF!,16,FALSE)</f>
        <v>#REF!</v>
      </c>
      <c r="DC61" s="190" t="e">
        <f t="shared" si="94"/>
        <v>#REF!</v>
      </c>
      <c r="DD61" s="190" t="e">
        <f t="shared" si="95"/>
        <v>#REF!</v>
      </c>
      <c r="DE61" s="190" t="e">
        <f t="shared" si="96"/>
        <v>#REF!</v>
      </c>
      <c r="DF61" s="190" t="e">
        <f t="shared" si="97"/>
        <v>#REF!</v>
      </c>
      <c r="DG61" s="1"/>
      <c r="DH61" s="253" t="s">
        <v>272</v>
      </c>
      <c r="DI61" s="253">
        <v>0</v>
      </c>
      <c r="DJ61" s="173">
        <f t="shared" si="98"/>
        <v>0</v>
      </c>
      <c r="DK61" s="172" t="e">
        <f>IF(VLOOKUP($B61,#REF!,6,FALSE)="Y","Yes","")</f>
        <v>#REF!</v>
      </c>
      <c r="DL61" s="172" t="e">
        <f>VLOOKUP($B61,#REF!,4,FALSE)</f>
        <v>#REF!</v>
      </c>
      <c r="DM61" s="173" t="e">
        <f t="shared" si="148"/>
        <v>#REF!</v>
      </c>
      <c r="DN61" s="1"/>
      <c r="DO61" s="172">
        <f t="shared" si="99"/>
        <v>3628226.7352111787</v>
      </c>
      <c r="DP61" s="252">
        <v>3536345.994225183</v>
      </c>
      <c r="DQ61" s="172">
        <f t="shared" si="100"/>
        <v>-91880.740985995624</v>
      </c>
      <c r="DR61" s="173">
        <f t="shared" si="149"/>
        <v>-2.5323869672838339E-2</v>
      </c>
      <c r="DS61" s="172">
        <f t="shared" si="101"/>
        <v>3536345.994225183</v>
      </c>
      <c r="DT61" s="252">
        <v>3593924.6644440931</v>
      </c>
      <c r="DU61" s="172">
        <f t="shared" si="102"/>
        <v>57578.670218910091</v>
      </c>
      <c r="DV61" s="173">
        <f t="shared" si="103"/>
        <v>1.5869644986660065E-2</v>
      </c>
      <c r="DW61" s="172">
        <f t="shared" si="104"/>
        <v>3593924.6644440931</v>
      </c>
      <c r="DX61" s="252">
        <v>3552755.1491636499</v>
      </c>
      <c r="DY61" s="172">
        <f t="shared" si="105"/>
        <v>-41169.515280443244</v>
      </c>
      <c r="DZ61" s="173">
        <f t="shared" si="106"/>
        <v>-1.1347007308253849E-2</v>
      </c>
      <c r="EA61" s="172">
        <f t="shared" si="107"/>
        <v>3552755.1491636499</v>
      </c>
      <c r="EB61" s="252">
        <v>3590086.0575053743</v>
      </c>
      <c r="EC61" s="172">
        <f t="shared" si="108"/>
        <v>37330.908341724426</v>
      </c>
      <c r="ED61" s="173">
        <f t="shared" si="109"/>
        <v>1.0289023003837054E-2</v>
      </c>
      <c r="EE61" s="172">
        <f t="shared" si="110"/>
        <v>3590086.0575053743</v>
      </c>
      <c r="EF61" s="252">
        <v>3615586.7176367575</v>
      </c>
      <c r="EG61" s="172">
        <f t="shared" si="111"/>
        <v>25500.660131383222</v>
      </c>
      <c r="EH61" s="173">
        <f t="shared" si="112"/>
        <v>7.0284086393787547E-3</v>
      </c>
      <c r="EI61" s="172">
        <f t="shared" si="113"/>
        <v>3615586.7176367575</v>
      </c>
      <c r="EJ61" s="252">
        <v>3628226.7352111787</v>
      </c>
      <c r="EK61" s="172">
        <f t="shared" si="114"/>
        <v>12640.01757442113</v>
      </c>
      <c r="EL61" s="173">
        <f t="shared" si="115"/>
        <v>3.4838003512163156E-3</v>
      </c>
      <c r="EM61" s="172">
        <f t="shared" si="116"/>
        <v>0</v>
      </c>
      <c r="EN61" s="173">
        <f t="shared" si="150"/>
        <v>0</v>
      </c>
      <c r="EO61" s="214"/>
      <c r="EP61" s="273">
        <v>1930811.4957996926</v>
      </c>
      <c r="EQ61" s="273">
        <v>1978225.5985278306</v>
      </c>
      <c r="ER61" s="172">
        <f t="shared" si="117"/>
        <v>47414.102728137979</v>
      </c>
      <c r="ES61" s="173">
        <f t="shared" si="18"/>
        <v>2.4556567449118213E-2</v>
      </c>
      <c r="ET61" s="273">
        <v>1103769.9730064478</v>
      </c>
      <c r="EU61" s="273">
        <v>1131358.2725798015</v>
      </c>
      <c r="EV61" s="172">
        <f t="shared" si="118"/>
        <v>27588.299573353725</v>
      </c>
      <c r="EW61" s="173">
        <f t="shared" si="19"/>
        <v>2.4994609608928513E-2</v>
      </c>
      <c r="EX61" s="273">
        <v>816704.07000000007</v>
      </c>
      <c r="EY61" s="273">
        <v>837645.20000000007</v>
      </c>
      <c r="EZ61" s="172">
        <f t="shared" si="119"/>
        <v>20941.130000000005</v>
      </c>
      <c r="FA61" s="173">
        <f t="shared" si="20"/>
        <v>2.5641025641025644E-2</v>
      </c>
      <c r="FB61" s="172">
        <f t="shared" si="120"/>
        <v>1978225.5985278306</v>
      </c>
      <c r="FC61" s="273">
        <v>2020988.5841956199</v>
      </c>
      <c r="FD61" s="172">
        <f t="shared" si="121"/>
        <v>42762.985667789355</v>
      </c>
      <c r="FE61" s="173">
        <f t="shared" si="21"/>
        <v>2.1616839707065263E-2</v>
      </c>
      <c r="FF61" s="172">
        <f t="shared" si="122"/>
        <v>1131358.2725798015</v>
      </c>
      <c r="FG61" s="273">
        <v>1143897.3515956812</v>
      </c>
      <c r="FH61" s="172">
        <f t="shared" si="123"/>
        <v>12539.079015879659</v>
      </c>
      <c r="FI61" s="173">
        <f t="shared" si="22"/>
        <v>1.1083207963192052E-2</v>
      </c>
      <c r="FJ61" s="172">
        <f t="shared" si="124"/>
        <v>2020988.5841956199</v>
      </c>
      <c r="FK61" s="273">
        <v>2237868.7930333866</v>
      </c>
      <c r="FL61" s="172">
        <f t="shared" si="125"/>
        <v>216880.20883776667</v>
      </c>
      <c r="FM61" s="173">
        <f t="shared" si="23"/>
        <v>0.1073139207879731</v>
      </c>
      <c r="FN61" s="172">
        <f t="shared" si="126"/>
        <v>1143897.3515956812</v>
      </c>
      <c r="FO61" s="273">
        <v>1207341.4780254494</v>
      </c>
      <c r="FP61" s="172">
        <f t="shared" si="127"/>
        <v>63444.126429768279</v>
      </c>
      <c r="FQ61" s="173">
        <f t="shared" si="24"/>
        <v>5.5463129048482197E-2</v>
      </c>
      <c r="FR61" s="172">
        <f t="shared" si="128"/>
        <v>1207341.4780254494</v>
      </c>
      <c r="FS61" s="273">
        <v>1347274.602330117</v>
      </c>
      <c r="FT61" s="172">
        <f t="shared" si="129"/>
        <v>139933.12430466758</v>
      </c>
      <c r="FU61" s="173">
        <f t="shared" si="25"/>
        <v>0.11590186111515167</v>
      </c>
      <c r="FV61" s="172">
        <f t="shared" si="26"/>
        <v>837645.20000000007</v>
      </c>
      <c r="FW61" s="273">
        <v>910234.4</v>
      </c>
      <c r="FX61" s="172">
        <f t="shared" si="130"/>
        <v>72589.199999999953</v>
      </c>
      <c r="FY61" s="173">
        <f t="shared" si="27"/>
        <v>8.6658647360481442E-2</v>
      </c>
      <c r="FZ61" s="214"/>
      <c r="GA61" s="172">
        <f t="shared" si="151"/>
        <v>1930811.4957996926</v>
      </c>
      <c r="GB61" s="172">
        <f t="shared" si="152"/>
        <v>47414.102728137979</v>
      </c>
      <c r="GC61" s="172">
        <f t="shared" si="153"/>
        <v>42762.985667789355</v>
      </c>
      <c r="GD61" s="172">
        <f t="shared" si="154"/>
        <v>216880.20883776667</v>
      </c>
      <c r="GE61" s="172">
        <f t="shared" si="155"/>
        <v>307057.297233694</v>
      </c>
      <c r="GF61" s="172">
        <f t="shared" si="156"/>
        <v>2237868.7930333866</v>
      </c>
      <c r="GG61" s="173">
        <f t="shared" si="157"/>
        <v>0.15903017871069736</v>
      </c>
      <c r="GH61" s="244"/>
      <c r="GI61" s="172">
        <f t="shared" si="158"/>
        <v>1103769.9730064478</v>
      </c>
      <c r="GJ61" s="172">
        <f t="shared" si="159"/>
        <v>27588.299573353725</v>
      </c>
      <c r="GK61" s="172">
        <f t="shared" si="160"/>
        <v>12539.079015879659</v>
      </c>
      <c r="GL61" s="172">
        <f t="shared" si="161"/>
        <v>63444.126429768279</v>
      </c>
      <c r="GM61" s="172">
        <f t="shared" si="162"/>
        <v>139933.12430466758</v>
      </c>
      <c r="GN61" s="172">
        <f t="shared" si="163"/>
        <v>243504.62932366924</v>
      </c>
      <c r="GO61" s="172">
        <f t="shared" si="164"/>
        <v>1347274.602330117</v>
      </c>
      <c r="GP61" s="173">
        <f t="shared" si="165"/>
        <v>0.22061175360696897</v>
      </c>
      <c r="GQ61" s="214"/>
      <c r="GR61" s="172">
        <f t="shared" si="166"/>
        <v>816704.07000000007</v>
      </c>
      <c r="GS61" s="172">
        <f t="shared" si="167"/>
        <v>20941.130000000005</v>
      </c>
      <c r="GT61" s="172">
        <f t="shared" si="168"/>
        <v>72589.199999999953</v>
      </c>
      <c r="GU61" s="172">
        <f t="shared" si="131"/>
        <v>93530.329999999958</v>
      </c>
      <c r="GV61" s="172">
        <f t="shared" si="132"/>
        <v>910234.4</v>
      </c>
      <c r="GW61" s="173">
        <f t="shared" si="133"/>
        <v>0.11452168960049379</v>
      </c>
      <c r="GX61" s="214"/>
      <c r="GY61" s="273">
        <v>-223058.80359496159</v>
      </c>
      <c r="GZ61" s="172" t="e">
        <f t="shared" si="134"/>
        <v>#REF!</v>
      </c>
      <c r="HA61" s="172" t="e">
        <f>-VLOOKUP($B61,#REF!,23,FALSE)</f>
        <v>#REF!</v>
      </c>
    </row>
    <row r="62" spans="1:209" ht="15" customHeight="1" x14ac:dyDescent="0.45">
      <c r="A62" s="148">
        <v>3</v>
      </c>
      <c r="B62" s="215" t="s">
        <v>52</v>
      </c>
      <c r="C62" s="172">
        <v>24366826.615193319</v>
      </c>
      <c r="D62" s="173">
        <f t="shared" si="0"/>
        <v>1.6915675243024324E-2</v>
      </c>
      <c r="E62" s="1"/>
      <c r="F62" s="252">
        <v>45542069.122236118</v>
      </c>
      <c r="G62" s="173">
        <f t="shared" si="1"/>
        <v>1.9378610167246631E-2</v>
      </c>
      <c r="H62" s="173">
        <f t="shared" si="46"/>
        <v>1.1456007453937123</v>
      </c>
      <c r="I62" s="172" t="e">
        <f>VLOOKUP($B62,#REF!,24,FALSE)</f>
        <v>#REF!</v>
      </c>
      <c r="J62" s="173" t="e">
        <f t="shared" si="136"/>
        <v>#REF!</v>
      </c>
      <c r="K62" s="173" t="e">
        <f t="shared" si="47"/>
        <v>#REF!</v>
      </c>
      <c r="L62" s="172" t="e">
        <f t="shared" si="48"/>
        <v>#REF!</v>
      </c>
      <c r="M62" s="173" t="e">
        <f t="shared" si="137"/>
        <v>#REF!</v>
      </c>
      <c r="N62" s="173" t="e">
        <f t="shared" si="50"/>
        <v>#REF!</v>
      </c>
      <c r="O62" s="176"/>
      <c r="P62" s="253">
        <v>358</v>
      </c>
      <c r="Q62" s="173">
        <f t="shared" si="138"/>
        <v>1.9913227277783958E-2</v>
      </c>
      <c r="R62" s="172" t="e">
        <f>VLOOKUP($B62,#REF!,4,FALSE)</f>
        <v>#REF!</v>
      </c>
      <c r="S62" s="173" t="e">
        <f t="shared" si="139"/>
        <v>#REF!</v>
      </c>
      <c r="T62" s="172" t="e">
        <f t="shared" si="51"/>
        <v>#REF!</v>
      </c>
      <c r="U62" s="173" t="e">
        <f t="shared" si="52"/>
        <v>#REF!</v>
      </c>
      <c r="V62" s="173" t="e">
        <f t="shared" si="53"/>
        <v>#REF!</v>
      </c>
      <c r="W62" s="1"/>
      <c r="X62" s="189">
        <f>VLOOKUP($B62,'Average RAS salary'!$A$5:$D$62,4,FALSE)</f>
        <v>65339.910002944584</v>
      </c>
      <c r="Y62" s="253">
        <v>71023.714642158928</v>
      </c>
      <c r="Z62" s="252" t="s">
        <v>272</v>
      </c>
      <c r="AA62" s="252" t="s">
        <v>272</v>
      </c>
      <c r="AB62" s="173">
        <f t="shared" si="5"/>
        <v>1.2174961488737146</v>
      </c>
      <c r="AC62" s="172" t="e">
        <f>VLOOKUP($B62,#REF!,3,FALSE)</f>
        <v>#REF!</v>
      </c>
      <c r="AD62" s="172" t="e">
        <f>VLOOKUP($B62,#REF!,5,FALSE)</f>
        <v>#REF!</v>
      </c>
      <c r="AE62" s="172" t="e">
        <f>VLOOKUP($B62,#REF!,6,FALSE)</f>
        <v>#REF!</v>
      </c>
      <c r="AF62" s="173" t="e">
        <f t="shared" si="6"/>
        <v>#REF!</v>
      </c>
      <c r="AG62" s="172" t="e">
        <f t="shared" si="140"/>
        <v>#REF!</v>
      </c>
      <c r="AH62" s="173" t="e">
        <f t="shared" si="141"/>
        <v>#REF!</v>
      </c>
      <c r="AI62" s="173" t="e">
        <f t="shared" si="142"/>
        <v>#REF!</v>
      </c>
      <c r="AJ62" s="189">
        <v>64172.126892568238</v>
      </c>
      <c r="AK62" s="189">
        <f>VLOOKUP($B62,'Average RAS salary'!$A$5:$D$62,4,FALSE)</f>
        <v>65339.910002944584</v>
      </c>
      <c r="AL62" s="189">
        <f t="shared" si="55"/>
        <v>1167.7831103763456</v>
      </c>
      <c r="AM62" s="173">
        <f t="shared" si="56"/>
        <v>1.8197668784320539E-2</v>
      </c>
      <c r="AN62" s="189" t="e">
        <f t="shared" si="57"/>
        <v>#REF!</v>
      </c>
      <c r="AO62" s="189" t="e">
        <f t="shared" si="58"/>
        <v>#REF!</v>
      </c>
      <c r="AP62" s="189" t="e">
        <f t="shared" si="59"/>
        <v>#REF!</v>
      </c>
      <c r="AQ62" s="189" t="e">
        <f t="shared" si="135"/>
        <v>#REF!</v>
      </c>
      <c r="AR62" s="189" t="e">
        <f t="shared" si="60"/>
        <v>#REF!</v>
      </c>
      <c r="AS62" s="189" t="e">
        <f t="shared" si="143"/>
        <v>#REF!</v>
      </c>
      <c r="AT62" s="213" t="e">
        <f t="shared" si="61"/>
        <v>#REF!</v>
      </c>
      <c r="AU62" s="173" t="e">
        <f t="shared" si="62"/>
        <v>#REF!</v>
      </c>
      <c r="AV62" s="189"/>
      <c r="AW62" s="189">
        <f>VLOOKUP($B62,'Average RAS salary'!$A$5:$D$62,4,FALSE)</f>
        <v>65339.910002944584</v>
      </c>
      <c r="AX62" s="189" t="e">
        <f t="shared" si="144"/>
        <v>#REF!</v>
      </c>
      <c r="AY62" s="189">
        <v>62784.022796019344</v>
      </c>
      <c r="AZ62" s="189" t="e">
        <f t="shared" si="145"/>
        <v>#REF!</v>
      </c>
      <c r="BA62" s="189" t="e">
        <f t="shared" si="63"/>
        <v>#REF!</v>
      </c>
      <c r="BB62" s="189" t="e">
        <f t="shared" si="64"/>
        <v>#REF!</v>
      </c>
      <c r="BC62" s="189" t="e">
        <f t="shared" si="65"/>
        <v>#REF!</v>
      </c>
      <c r="BD62" s="213">
        <f t="shared" si="66"/>
        <v>-2555.8872069252393</v>
      </c>
      <c r="BE62" s="173">
        <f t="shared" si="169"/>
        <v>-3.9116784929915834E-2</v>
      </c>
      <c r="BF62" s="189"/>
      <c r="BG62" s="189">
        <f>VLOOKUP($B62,'Average RAS salary'!$A$5:$D$62,4,FALSE)</f>
        <v>65339.910002944584</v>
      </c>
      <c r="BH62" s="189" t="e">
        <f t="shared" si="68"/>
        <v>#REF!</v>
      </c>
      <c r="BI62" s="189" t="e">
        <f>$BG$65*#REF!</f>
        <v>#REF!</v>
      </c>
      <c r="BJ62" s="189" t="e">
        <f t="shared" si="69"/>
        <v>#REF!</v>
      </c>
      <c r="BK62" s="189" t="e">
        <f t="shared" si="146"/>
        <v>#REF!</v>
      </c>
      <c r="BL62" s="189" t="e">
        <f t="shared" si="147"/>
        <v>#REF!</v>
      </c>
      <c r="BM62" s="189" t="e">
        <f t="shared" si="70"/>
        <v>#REF!</v>
      </c>
      <c r="BN62" s="213" t="e">
        <f t="shared" si="71"/>
        <v>#REF!</v>
      </c>
      <c r="BO62" s="173" t="e">
        <f t="shared" si="72"/>
        <v>#REF!</v>
      </c>
      <c r="BP62" s="189"/>
      <c r="BQ62" s="189">
        <f>VLOOKUP($B62,'Average RAS salary'!$A$5:$D$62,4,FALSE)</f>
        <v>65339.910002944584</v>
      </c>
      <c r="BR62" s="189" t="e">
        <f t="shared" si="73"/>
        <v>#REF!</v>
      </c>
      <c r="BS62" s="189" t="e">
        <f>VLOOKUP($B62,#REF!,19,FALSE)*$BQ$65</f>
        <v>#REF!</v>
      </c>
      <c r="BT62" s="189" t="e">
        <f t="shared" si="74"/>
        <v>#REF!</v>
      </c>
      <c r="BU62" s="189" t="e">
        <f t="shared" si="75"/>
        <v>#REF!</v>
      </c>
      <c r="BV62" s="189" t="e">
        <f t="shared" si="76"/>
        <v>#REF!</v>
      </c>
      <c r="BW62" s="189" t="e">
        <f t="shared" si="77"/>
        <v>#REF!</v>
      </c>
      <c r="BX62" s="213" t="e">
        <f t="shared" si="78"/>
        <v>#REF!</v>
      </c>
      <c r="BY62" s="173" t="e">
        <f t="shared" si="79"/>
        <v>#REF!</v>
      </c>
      <c r="BZ62" s="189"/>
      <c r="CA62" s="189">
        <f>VLOOKUP($B62,'Average RAS salary'!$A$5:$D$62,4,FALSE)</f>
        <v>65339.910002944584</v>
      </c>
      <c r="CB62" s="189" t="e">
        <f t="shared" si="80"/>
        <v>#REF!</v>
      </c>
      <c r="CC62" s="189" t="e">
        <f>IF(VLOOKUP($B62,#REF!,7,FALSE)&gt;VLOOKUP($B62,#REF!,19,FALSE)*$CA$65,VLOOKUP($B62,#REF!,19,FALSE)*$CA$65,VLOOKUP($B62,#REF!,7,FALSE))</f>
        <v>#REF!</v>
      </c>
      <c r="CD62" s="189" t="e">
        <f t="shared" si="81"/>
        <v>#REF!</v>
      </c>
      <c r="CE62" s="189" t="e">
        <f t="shared" si="82"/>
        <v>#REF!</v>
      </c>
      <c r="CF62" s="189" t="e">
        <f t="shared" si="83"/>
        <v>#REF!</v>
      </c>
      <c r="CG62" s="189" t="e">
        <f t="shared" si="84"/>
        <v>#REF!</v>
      </c>
      <c r="CH62" s="213" t="e">
        <f t="shared" si="85"/>
        <v>#REF!</v>
      </c>
      <c r="CI62" s="173" t="e">
        <f t="shared" si="86"/>
        <v>#REF!</v>
      </c>
      <c r="CJ62" s="189"/>
      <c r="CK62" s="189">
        <f>VLOOKUP($B62,'Average RAS salary'!$A$5:$D$62,4,FALSE)</f>
        <v>65339.910002944584</v>
      </c>
      <c r="CL62" s="189" t="e">
        <f t="shared" si="87"/>
        <v>#REF!</v>
      </c>
      <c r="CM62" s="189" t="e">
        <f>IF($AY62&gt;VLOOKUP($B62,#REF!,19,FALSE)*$CK$65,VLOOKUP($B62,#REF!,19,FALSE)*$CK$65,$AY62)</f>
        <v>#REF!</v>
      </c>
      <c r="CN62" s="189" t="e">
        <f t="shared" si="88"/>
        <v>#REF!</v>
      </c>
      <c r="CO62" s="189" t="e">
        <f t="shared" si="89"/>
        <v>#REF!</v>
      </c>
      <c r="CP62" s="189" t="e">
        <f t="shared" si="90"/>
        <v>#REF!</v>
      </c>
      <c r="CQ62" s="189" t="e">
        <f t="shared" si="91"/>
        <v>#REF!</v>
      </c>
      <c r="CR62" s="213" t="e">
        <f t="shared" si="92"/>
        <v>#REF!</v>
      </c>
      <c r="CS62" s="173" t="e">
        <f t="shared" si="93"/>
        <v>#REF!</v>
      </c>
      <c r="CT62" s="1"/>
      <c r="CU62" s="254">
        <v>0.38195996469049565</v>
      </c>
      <c r="CV62" s="252">
        <v>9290.0272160349559</v>
      </c>
      <c r="CW62" s="254">
        <v>0.40576001643188908</v>
      </c>
      <c r="CX62" s="255">
        <v>11635.571039394295</v>
      </c>
      <c r="CY62" s="190" t="e">
        <f>VLOOKUP($B62,#REF!,13,FALSE)</f>
        <v>#REF!</v>
      </c>
      <c r="CZ62" s="172" t="e">
        <f>VLOOKUP($B62,#REF!,14,FALSE)</f>
        <v>#REF!</v>
      </c>
      <c r="DA62" s="190" t="e">
        <f>VLOOKUP($B62,#REF!,15,FALSE)</f>
        <v>#REF!</v>
      </c>
      <c r="DB62" s="189" t="e">
        <f>VLOOKUP($B62,#REF!,16,FALSE)</f>
        <v>#REF!</v>
      </c>
      <c r="DC62" s="190" t="e">
        <f t="shared" si="94"/>
        <v>#REF!</v>
      </c>
      <c r="DD62" s="190" t="e">
        <f t="shared" si="95"/>
        <v>#REF!</v>
      </c>
      <c r="DE62" s="190" t="e">
        <f t="shared" si="96"/>
        <v>#REF!</v>
      </c>
      <c r="DF62" s="190" t="e">
        <f t="shared" si="97"/>
        <v>#REF!</v>
      </c>
      <c r="DG62" s="1"/>
      <c r="DH62" s="253" t="s">
        <v>272</v>
      </c>
      <c r="DI62" s="253">
        <v>0</v>
      </c>
      <c r="DJ62" s="173">
        <f t="shared" si="98"/>
        <v>0</v>
      </c>
      <c r="DK62" s="172" t="e">
        <f>IF(VLOOKUP($B62,#REF!,6,FALSE)="Y","Yes","")</f>
        <v>#REF!</v>
      </c>
      <c r="DL62" s="172" t="e">
        <f>VLOOKUP($B62,#REF!,4,FALSE)</f>
        <v>#REF!</v>
      </c>
      <c r="DM62" s="173" t="e">
        <f t="shared" si="148"/>
        <v>#REF!</v>
      </c>
      <c r="DN62" s="1"/>
      <c r="DO62" s="172">
        <f t="shared" si="99"/>
        <v>45542069.122236118</v>
      </c>
      <c r="DP62" s="252">
        <v>44143782.787175365</v>
      </c>
      <c r="DQ62" s="172">
        <f t="shared" si="100"/>
        <v>-1398286.3350607529</v>
      </c>
      <c r="DR62" s="173">
        <f t="shared" si="149"/>
        <v>-3.0703179763477927E-2</v>
      </c>
      <c r="DS62" s="172">
        <f t="shared" si="101"/>
        <v>44143782.787175365</v>
      </c>
      <c r="DT62" s="252">
        <v>45030109.986979239</v>
      </c>
      <c r="DU62" s="172">
        <f t="shared" si="102"/>
        <v>886327.1998038739</v>
      </c>
      <c r="DV62" s="173">
        <f t="shared" si="103"/>
        <v>1.9461724442623549E-2</v>
      </c>
      <c r="DW62" s="172">
        <f t="shared" si="104"/>
        <v>45030109.986979239</v>
      </c>
      <c r="DX62" s="252">
        <v>45104052.054842696</v>
      </c>
      <c r="DY62" s="172">
        <f t="shared" si="105"/>
        <v>73942.067863456905</v>
      </c>
      <c r="DZ62" s="173">
        <f t="shared" si="106"/>
        <v>1.6235992191086979E-3</v>
      </c>
      <c r="EA62" s="172">
        <f t="shared" si="107"/>
        <v>45104052.054842696</v>
      </c>
      <c r="EB62" s="252">
        <v>45311230.125496045</v>
      </c>
      <c r="EC62" s="172">
        <f t="shared" si="108"/>
        <v>207178.07065334916</v>
      </c>
      <c r="ED62" s="173">
        <f t="shared" si="109"/>
        <v>4.5491580564176329E-3</v>
      </c>
      <c r="EE62" s="172">
        <f t="shared" si="110"/>
        <v>45311230.125496045</v>
      </c>
      <c r="EF62" s="252">
        <v>45545313.10824053</v>
      </c>
      <c r="EG62" s="172">
        <f t="shared" si="111"/>
        <v>234082.98274448514</v>
      </c>
      <c r="EH62" s="173">
        <f t="shared" si="112"/>
        <v>5.1399285815539085E-3</v>
      </c>
      <c r="EI62" s="172">
        <f t="shared" si="113"/>
        <v>45545313.10824053</v>
      </c>
      <c r="EJ62" s="252">
        <v>45542069.122236118</v>
      </c>
      <c r="EK62" s="172">
        <f t="shared" si="114"/>
        <v>-3243.9860044121742</v>
      </c>
      <c r="EL62" s="173">
        <f t="shared" si="115"/>
        <v>-7.1230536225862508E-5</v>
      </c>
      <c r="EM62" s="172">
        <f t="shared" si="116"/>
        <v>0</v>
      </c>
      <c r="EN62" s="173">
        <f t="shared" si="150"/>
        <v>0</v>
      </c>
      <c r="EO62" s="214"/>
      <c r="EP62" s="273">
        <v>25588584.247057516</v>
      </c>
      <c r="EQ62" s="273">
        <v>25304489.388488878</v>
      </c>
      <c r="ER62" s="172">
        <f t="shared" si="117"/>
        <v>-284094.85856863856</v>
      </c>
      <c r="ES62" s="173">
        <f t="shared" si="18"/>
        <v>-1.1102406284994341E-2</v>
      </c>
      <c r="ET62" s="273">
        <v>13329513.400831971</v>
      </c>
      <c r="EU62" s="273">
        <v>13179804.517913494</v>
      </c>
      <c r="EV62" s="172">
        <f t="shared" si="118"/>
        <v>-149708.88291847706</v>
      </c>
      <c r="EW62" s="173">
        <f t="shared" si="19"/>
        <v>-1.1231383953530733E-2</v>
      </c>
      <c r="EX62" s="273">
        <v>7496924.54</v>
      </c>
      <c r="EY62" s="273">
        <v>7413160.0200000005</v>
      </c>
      <c r="EZ62" s="172">
        <f t="shared" si="119"/>
        <v>-83764.519999999553</v>
      </c>
      <c r="FA62" s="173">
        <f t="shared" si="20"/>
        <v>-1.1173184357541839E-2</v>
      </c>
      <c r="FB62" s="172">
        <f t="shared" si="120"/>
        <v>25304489.388488878</v>
      </c>
      <c r="FC62" s="273">
        <v>25809579.556904994</v>
      </c>
      <c r="FD62" s="172">
        <f t="shared" si="121"/>
        <v>505090.16841611639</v>
      </c>
      <c r="FE62" s="173">
        <f t="shared" si="21"/>
        <v>1.9960496363379855E-2</v>
      </c>
      <c r="FF62" s="172">
        <f t="shared" si="122"/>
        <v>13179804.517913494</v>
      </c>
      <c r="FG62" s="273">
        <v>13374719.122335512</v>
      </c>
      <c r="FH62" s="172">
        <f t="shared" si="123"/>
        <v>194914.60442201793</v>
      </c>
      <c r="FI62" s="173">
        <f t="shared" si="22"/>
        <v>1.4788884323519165E-2</v>
      </c>
      <c r="FJ62" s="172">
        <f t="shared" si="124"/>
        <v>25809579.556904994</v>
      </c>
      <c r="FK62" s="273">
        <v>26086577.582147639</v>
      </c>
      <c r="FL62" s="172">
        <f t="shared" si="125"/>
        <v>276998.02524264529</v>
      </c>
      <c r="FM62" s="173">
        <f t="shared" si="23"/>
        <v>1.0732372630554468E-2</v>
      </c>
      <c r="FN62" s="172">
        <f t="shared" si="126"/>
        <v>13374719.122335512</v>
      </c>
      <c r="FO62" s="273">
        <v>13481581.83504108</v>
      </c>
      <c r="FP62" s="172">
        <f t="shared" si="127"/>
        <v>106862.71270556748</v>
      </c>
      <c r="FQ62" s="173">
        <f t="shared" si="24"/>
        <v>7.9899033189496215E-3</v>
      </c>
      <c r="FR62" s="172">
        <f t="shared" si="128"/>
        <v>13481581.83504108</v>
      </c>
      <c r="FS62" s="273">
        <v>13809405.84813627</v>
      </c>
      <c r="FT62" s="172">
        <f t="shared" si="129"/>
        <v>327824.01309519075</v>
      </c>
      <c r="FU62" s="173">
        <f t="shared" si="25"/>
        <v>2.431643534908616E-2</v>
      </c>
      <c r="FV62" s="172">
        <f t="shared" si="26"/>
        <v>7413160.0200000005</v>
      </c>
      <c r="FW62" s="273">
        <v>8055574.4400000004</v>
      </c>
      <c r="FX62" s="172">
        <f t="shared" si="130"/>
        <v>642414.41999999993</v>
      </c>
      <c r="FY62" s="173">
        <f t="shared" si="27"/>
        <v>8.6658647360481483E-2</v>
      </c>
      <c r="FZ62" s="214"/>
      <c r="GA62" s="172">
        <f t="shared" si="151"/>
        <v>25588584.247057516</v>
      </c>
      <c r="GB62" s="172">
        <f t="shared" si="152"/>
        <v>-284094.85856863856</v>
      </c>
      <c r="GC62" s="172">
        <f t="shared" si="153"/>
        <v>505090.16841611639</v>
      </c>
      <c r="GD62" s="172">
        <f t="shared" si="154"/>
        <v>276998.02524264529</v>
      </c>
      <c r="GE62" s="172">
        <f t="shared" si="155"/>
        <v>497993.33509012312</v>
      </c>
      <c r="GF62" s="172">
        <f t="shared" si="156"/>
        <v>26086577.582147639</v>
      </c>
      <c r="GG62" s="173">
        <f t="shared" si="157"/>
        <v>1.9461543096015107E-2</v>
      </c>
      <c r="GH62" s="244"/>
      <c r="GI62" s="172">
        <f t="shared" si="158"/>
        <v>13329513.400831971</v>
      </c>
      <c r="GJ62" s="172">
        <f t="shared" si="159"/>
        <v>-149708.88291847706</v>
      </c>
      <c r="GK62" s="172">
        <f t="shared" si="160"/>
        <v>194914.60442201793</v>
      </c>
      <c r="GL62" s="172">
        <f t="shared" si="161"/>
        <v>106862.71270556748</v>
      </c>
      <c r="GM62" s="172">
        <f t="shared" si="162"/>
        <v>327824.01309519075</v>
      </c>
      <c r="GN62" s="172">
        <f t="shared" si="163"/>
        <v>479892.4473042991</v>
      </c>
      <c r="GO62" s="172">
        <f t="shared" si="164"/>
        <v>13809405.84813627</v>
      </c>
      <c r="GP62" s="173">
        <f t="shared" si="165"/>
        <v>3.6002248009619486E-2</v>
      </c>
      <c r="GQ62" s="214"/>
      <c r="GR62" s="172">
        <f t="shared" si="166"/>
        <v>7496924.54</v>
      </c>
      <c r="GS62" s="172">
        <f t="shared" si="167"/>
        <v>-83764.519999999553</v>
      </c>
      <c r="GT62" s="172">
        <f t="shared" si="168"/>
        <v>642414.41999999993</v>
      </c>
      <c r="GU62" s="172">
        <f t="shared" si="131"/>
        <v>558649.90000000037</v>
      </c>
      <c r="GV62" s="172">
        <f t="shared" si="132"/>
        <v>8055574.4400000004</v>
      </c>
      <c r="GW62" s="173">
        <f t="shared" si="133"/>
        <v>7.4517209959805777E-2</v>
      </c>
      <c r="GX62" s="214"/>
      <c r="GY62" s="273">
        <v>-872953.06565337232</v>
      </c>
      <c r="GZ62" s="172" t="e">
        <f t="shared" si="134"/>
        <v>#REF!</v>
      </c>
      <c r="HA62" s="172" t="e">
        <f>-VLOOKUP($B62,#REF!,23,FALSE)</f>
        <v>#REF!</v>
      </c>
    </row>
    <row r="63" spans="1:209" ht="15" customHeight="1" x14ac:dyDescent="0.45">
      <c r="A63" s="148">
        <v>2</v>
      </c>
      <c r="B63" s="215" t="s">
        <v>39</v>
      </c>
      <c r="C63" s="172">
        <v>6504148.6509360727</v>
      </c>
      <c r="D63" s="173">
        <f t="shared" si="0"/>
        <v>4.5152398401763121E-3</v>
      </c>
      <c r="E63" s="1"/>
      <c r="F63" s="252">
        <v>11850964.111568911</v>
      </c>
      <c r="G63" s="173">
        <f t="shared" si="1"/>
        <v>5.0427048671794761E-3</v>
      </c>
      <c r="H63" s="173">
        <f t="shared" si="46"/>
        <v>1.1168188281627511</v>
      </c>
      <c r="I63" s="172" t="e">
        <f>VLOOKUP($B63,#REF!,24,FALSE)</f>
        <v>#REF!</v>
      </c>
      <c r="J63" s="173" t="e">
        <f t="shared" si="136"/>
        <v>#REF!</v>
      </c>
      <c r="K63" s="173" t="e">
        <f t="shared" si="47"/>
        <v>#REF!</v>
      </c>
      <c r="L63" s="172" t="e">
        <f t="shared" si="48"/>
        <v>#REF!</v>
      </c>
      <c r="M63" s="173" t="e">
        <f t="shared" si="137"/>
        <v>#REF!</v>
      </c>
      <c r="N63" s="173" t="e">
        <f t="shared" si="50"/>
        <v>#REF!</v>
      </c>
      <c r="O63" s="176"/>
      <c r="P63" s="253">
        <v>102</v>
      </c>
      <c r="Q63" s="173">
        <f t="shared" si="138"/>
        <v>5.6736010679719661E-3</v>
      </c>
      <c r="R63" s="172" t="e">
        <f>VLOOKUP($B63,#REF!,4,FALSE)</f>
        <v>#REF!</v>
      </c>
      <c r="S63" s="173" t="e">
        <f t="shared" si="139"/>
        <v>#REF!</v>
      </c>
      <c r="T63" s="172" t="e">
        <f t="shared" si="51"/>
        <v>#REF!</v>
      </c>
      <c r="U63" s="173" t="e">
        <f t="shared" si="52"/>
        <v>#REF!</v>
      </c>
      <c r="V63" s="173" t="e">
        <f t="shared" si="53"/>
        <v>#REF!</v>
      </c>
      <c r="W63" s="1"/>
      <c r="X63" s="189">
        <f>VLOOKUP($B63,'Average RAS salary'!$A$5:$D$62,4,FALSE)</f>
        <v>51354.558441558445</v>
      </c>
      <c r="Y63" s="253">
        <v>60940.543243448104</v>
      </c>
      <c r="Z63" s="252" t="s">
        <v>272</v>
      </c>
      <c r="AA63" s="252" t="s">
        <v>272</v>
      </c>
      <c r="AB63" s="173">
        <f t="shared" si="5"/>
        <v>1.0446493411811615</v>
      </c>
      <c r="AC63" s="172" t="e">
        <f>VLOOKUP($B63,#REF!,3,FALSE)</f>
        <v>#REF!</v>
      </c>
      <c r="AD63" s="172" t="e">
        <f>VLOOKUP($B63,#REF!,5,FALSE)</f>
        <v>#REF!</v>
      </c>
      <c r="AE63" s="172" t="e">
        <f>VLOOKUP($B63,#REF!,6,FALSE)</f>
        <v>#REF!</v>
      </c>
      <c r="AF63" s="173" t="e">
        <f t="shared" si="6"/>
        <v>#REF!</v>
      </c>
      <c r="AG63" s="172" t="e">
        <f t="shared" si="140"/>
        <v>#REF!</v>
      </c>
      <c r="AH63" s="173" t="e">
        <f t="shared" si="141"/>
        <v>#REF!</v>
      </c>
      <c r="AI63" s="173" t="e">
        <f t="shared" si="142"/>
        <v>#REF!</v>
      </c>
      <c r="AJ63" s="189">
        <v>46846.506172839509</v>
      </c>
      <c r="AK63" s="189">
        <f>VLOOKUP($B63,'Average RAS salary'!$A$5:$D$62,4,FALSE)</f>
        <v>51354.558441558445</v>
      </c>
      <c r="AL63" s="189">
        <f t="shared" si="55"/>
        <v>4508.0522687189368</v>
      </c>
      <c r="AM63" s="173">
        <f t="shared" si="56"/>
        <v>9.623027706882864E-2</v>
      </c>
      <c r="AN63" s="189" t="e">
        <f t="shared" si="57"/>
        <v>#REF!</v>
      </c>
      <c r="AO63" s="189" t="e">
        <f t="shared" si="58"/>
        <v>#REF!</v>
      </c>
      <c r="AP63" s="189" t="e">
        <f t="shared" si="59"/>
        <v>#REF!</v>
      </c>
      <c r="AQ63" s="189" t="e">
        <f t="shared" si="135"/>
        <v>#REF!</v>
      </c>
      <c r="AR63" s="189" t="e">
        <f t="shared" si="60"/>
        <v>#REF!</v>
      </c>
      <c r="AS63" s="189" t="e">
        <f t="shared" si="143"/>
        <v>#REF!</v>
      </c>
      <c r="AT63" s="213" t="e">
        <f t="shared" si="61"/>
        <v>#REF!</v>
      </c>
      <c r="AU63" s="173" t="e">
        <f t="shared" si="62"/>
        <v>#REF!</v>
      </c>
      <c r="AV63" s="189"/>
      <c r="AW63" s="189">
        <f>VLOOKUP($B63,'Average RAS salary'!$A$5:$D$62,4,FALSE)</f>
        <v>51354.558441558445</v>
      </c>
      <c r="AX63" s="189" t="e">
        <f t="shared" si="144"/>
        <v>#REF!</v>
      </c>
      <c r="AY63" s="189">
        <v>52997.216051150142</v>
      </c>
      <c r="AZ63" s="189" t="e">
        <f t="shared" si="145"/>
        <v>#REF!</v>
      </c>
      <c r="BA63" s="189" t="e">
        <f t="shared" si="63"/>
        <v>#REF!</v>
      </c>
      <c r="BB63" s="189" t="e">
        <f t="shared" si="64"/>
        <v>#REF!</v>
      </c>
      <c r="BC63" s="189" t="e">
        <f t="shared" si="65"/>
        <v>#REF!</v>
      </c>
      <c r="BD63" s="213">
        <f t="shared" si="66"/>
        <v>1642.6576095916971</v>
      </c>
      <c r="BE63" s="173">
        <f t="shared" si="169"/>
        <v>3.1986597868639909E-2</v>
      </c>
      <c r="BF63" s="189"/>
      <c r="BG63" s="189">
        <f>VLOOKUP($B63,'Average RAS salary'!$A$5:$D$62,4,FALSE)</f>
        <v>51354.558441558445</v>
      </c>
      <c r="BH63" s="189" t="e">
        <f t="shared" si="68"/>
        <v>#REF!</v>
      </c>
      <c r="BI63" s="189" t="e">
        <f>$BG$65*#REF!</f>
        <v>#REF!</v>
      </c>
      <c r="BJ63" s="189" t="e">
        <f t="shared" si="69"/>
        <v>#REF!</v>
      </c>
      <c r="BK63" s="189" t="e">
        <f t="shared" si="146"/>
        <v>#REF!</v>
      </c>
      <c r="BL63" s="189" t="e">
        <f t="shared" si="147"/>
        <v>#REF!</v>
      </c>
      <c r="BM63" s="189" t="e">
        <f t="shared" si="70"/>
        <v>#REF!</v>
      </c>
      <c r="BN63" s="213" t="e">
        <f t="shared" si="71"/>
        <v>#REF!</v>
      </c>
      <c r="BO63" s="173" t="e">
        <f t="shared" si="72"/>
        <v>#REF!</v>
      </c>
      <c r="BP63" s="189"/>
      <c r="BQ63" s="189">
        <f>VLOOKUP($B63,'Average RAS salary'!$A$5:$D$62,4,FALSE)</f>
        <v>51354.558441558445</v>
      </c>
      <c r="BR63" s="189" t="e">
        <f t="shared" si="73"/>
        <v>#REF!</v>
      </c>
      <c r="BS63" s="189" t="e">
        <f>VLOOKUP($B63,#REF!,19,FALSE)*$BQ$65</f>
        <v>#REF!</v>
      </c>
      <c r="BT63" s="189" t="e">
        <f t="shared" si="74"/>
        <v>#REF!</v>
      </c>
      <c r="BU63" s="189" t="e">
        <f t="shared" si="75"/>
        <v>#REF!</v>
      </c>
      <c r="BV63" s="189" t="e">
        <f t="shared" si="76"/>
        <v>#REF!</v>
      </c>
      <c r="BW63" s="189" t="e">
        <f t="shared" si="77"/>
        <v>#REF!</v>
      </c>
      <c r="BX63" s="213" t="e">
        <f t="shared" si="78"/>
        <v>#REF!</v>
      </c>
      <c r="BY63" s="173" t="e">
        <f t="shared" si="79"/>
        <v>#REF!</v>
      </c>
      <c r="BZ63" s="189"/>
      <c r="CA63" s="189">
        <f>VLOOKUP($B63,'Average RAS salary'!$A$5:$D$62,4,FALSE)</f>
        <v>51354.558441558445</v>
      </c>
      <c r="CB63" s="189" t="e">
        <f t="shared" si="80"/>
        <v>#REF!</v>
      </c>
      <c r="CC63" s="189" t="e">
        <f>IF(VLOOKUP($B63,#REF!,7,FALSE)&gt;VLOOKUP($B63,#REF!,19,FALSE)*$CA$65,VLOOKUP($B63,#REF!,19,FALSE)*$CA$65,VLOOKUP($B63,#REF!,7,FALSE))</f>
        <v>#REF!</v>
      </c>
      <c r="CD63" s="189" t="e">
        <f t="shared" si="81"/>
        <v>#REF!</v>
      </c>
      <c r="CE63" s="189" t="e">
        <f t="shared" si="82"/>
        <v>#REF!</v>
      </c>
      <c r="CF63" s="189" t="e">
        <f t="shared" si="83"/>
        <v>#REF!</v>
      </c>
      <c r="CG63" s="189" t="e">
        <f t="shared" si="84"/>
        <v>#REF!</v>
      </c>
      <c r="CH63" s="213" t="e">
        <f t="shared" si="85"/>
        <v>#REF!</v>
      </c>
      <c r="CI63" s="173" t="e">
        <f t="shared" si="86"/>
        <v>#REF!</v>
      </c>
      <c r="CJ63" s="189"/>
      <c r="CK63" s="189">
        <f>VLOOKUP($B63,'Average RAS salary'!$A$5:$D$62,4,FALSE)</f>
        <v>51354.558441558445</v>
      </c>
      <c r="CL63" s="189" t="e">
        <f t="shared" si="87"/>
        <v>#REF!</v>
      </c>
      <c r="CM63" s="189" t="e">
        <f>IF($AY63&gt;VLOOKUP($B63,#REF!,19,FALSE)*$CK$65,VLOOKUP($B63,#REF!,19,FALSE)*$CK$65,$AY63)</f>
        <v>#REF!</v>
      </c>
      <c r="CN63" s="189" t="e">
        <f t="shared" si="88"/>
        <v>#REF!</v>
      </c>
      <c r="CO63" s="189" t="e">
        <f t="shared" si="89"/>
        <v>#REF!</v>
      </c>
      <c r="CP63" s="189" t="e">
        <f t="shared" si="90"/>
        <v>#REF!</v>
      </c>
      <c r="CQ63" s="189" t="e">
        <f t="shared" si="91"/>
        <v>#REF!</v>
      </c>
      <c r="CR63" s="213" t="e">
        <f t="shared" si="92"/>
        <v>#REF!</v>
      </c>
      <c r="CS63" s="173" t="e">
        <f t="shared" si="93"/>
        <v>#REF!</v>
      </c>
      <c r="CT63" s="1"/>
      <c r="CU63" s="254">
        <v>0.31734742644304903</v>
      </c>
      <c r="CV63" s="252">
        <v>14012.578595041321</v>
      </c>
      <c r="CW63" s="254">
        <v>0.33905386175558971</v>
      </c>
      <c r="CX63" s="255">
        <v>24492.470666666672</v>
      </c>
      <c r="CY63" s="190" t="e">
        <f>VLOOKUP($B63,#REF!,13,FALSE)</f>
        <v>#REF!</v>
      </c>
      <c r="CZ63" s="172" t="e">
        <f>VLOOKUP($B63,#REF!,14,FALSE)</f>
        <v>#REF!</v>
      </c>
      <c r="DA63" s="190" t="e">
        <f>VLOOKUP($B63,#REF!,15,FALSE)</f>
        <v>#REF!</v>
      </c>
      <c r="DB63" s="189" t="e">
        <f>VLOOKUP($B63,#REF!,16,FALSE)</f>
        <v>#REF!</v>
      </c>
      <c r="DC63" s="190" t="e">
        <f t="shared" si="94"/>
        <v>#REF!</v>
      </c>
      <c r="DD63" s="190" t="e">
        <f t="shared" si="95"/>
        <v>#REF!</v>
      </c>
      <c r="DE63" s="190" t="e">
        <f t="shared" si="96"/>
        <v>#REF!</v>
      </c>
      <c r="DF63" s="190" t="e">
        <f t="shared" si="97"/>
        <v>#REF!</v>
      </c>
      <c r="DG63" s="1"/>
      <c r="DH63" s="253" t="s">
        <v>272</v>
      </c>
      <c r="DI63" s="253">
        <v>0</v>
      </c>
      <c r="DJ63" s="173">
        <f t="shared" si="98"/>
        <v>0</v>
      </c>
      <c r="DK63" s="172" t="e">
        <f>IF(VLOOKUP($B63,#REF!,6,FALSE)="Y","Yes","")</f>
        <v>#REF!</v>
      </c>
      <c r="DL63" s="172" t="e">
        <f>VLOOKUP($B63,#REF!,4,FALSE)</f>
        <v>#REF!</v>
      </c>
      <c r="DM63" s="173" t="e">
        <f t="shared" si="148"/>
        <v>#REF!</v>
      </c>
      <c r="DN63" s="1"/>
      <c r="DO63" s="172">
        <f t="shared" si="99"/>
        <v>11850964.111568911</v>
      </c>
      <c r="DP63" s="252">
        <v>11284863.805354876</v>
      </c>
      <c r="DQ63" s="172">
        <f t="shared" si="100"/>
        <v>-566100.30621403456</v>
      </c>
      <c r="DR63" s="173">
        <f t="shared" si="149"/>
        <v>-4.7768291329260498E-2</v>
      </c>
      <c r="DS63" s="172">
        <f t="shared" si="101"/>
        <v>11284863.805354876</v>
      </c>
      <c r="DT63" s="252">
        <v>11486100.957410464</v>
      </c>
      <c r="DU63" s="172">
        <f t="shared" si="102"/>
        <v>201237.15205558762</v>
      </c>
      <c r="DV63" s="173">
        <f t="shared" si="103"/>
        <v>1.6980656608278809E-2</v>
      </c>
      <c r="DW63" s="172">
        <f t="shared" si="104"/>
        <v>11486100.957410464</v>
      </c>
      <c r="DX63" s="252">
        <v>11639964.46973384</v>
      </c>
      <c r="DY63" s="172">
        <f t="shared" si="105"/>
        <v>153863.51232337579</v>
      </c>
      <c r="DZ63" s="173">
        <f t="shared" si="106"/>
        <v>1.2983206334510307E-2</v>
      </c>
      <c r="EA63" s="172">
        <f t="shared" si="107"/>
        <v>11639964.46973384</v>
      </c>
      <c r="EB63" s="252">
        <v>11785852.865607709</v>
      </c>
      <c r="EC63" s="172">
        <f t="shared" si="108"/>
        <v>145888.39587386884</v>
      </c>
      <c r="ED63" s="173">
        <f t="shared" si="109"/>
        <v>1.2310255477987026E-2</v>
      </c>
      <c r="EE63" s="172">
        <f t="shared" si="110"/>
        <v>11785852.865607709</v>
      </c>
      <c r="EF63" s="252">
        <v>11852546.899797479</v>
      </c>
      <c r="EG63" s="172">
        <f t="shared" si="111"/>
        <v>66694.034189769998</v>
      </c>
      <c r="EH63" s="173">
        <f t="shared" si="112"/>
        <v>5.6277306691582402E-3</v>
      </c>
      <c r="EI63" s="172">
        <f t="shared" si="113"/>
        <v>11852546.899797479</v>
      </c>
      <c r="EJ63" s="252">
        <v>11850964.111568911</v>
      </c>
      <c r="EK63" s="172">
        <f t="shared" si="114"/>
        <v>-1582.7882285676897</v>
      </c>
      <c r="EL63" s="173">
        <f t="shared" si="115"/>
        <v>-1.3355776067388239E-4</v>
      </c>
      <c r="EM63" s="172">
        <f t="shared" si="116"/>
        <v>0</v>
      </c>
      <c r="EN63" s="173">
        <f t="shared" si="150"/>
        <v>0</v>
      </c>
      <c r="EO63" s="214"/>
      <c r="EP63" s="273">
        <v>6320893.5401625559</v>
      </c>
      <c r="EQ63" s="273">
        <v>6503715.1698929006</v>
      </c>
      <c r="ER63" s="172">
        <f t="shared" si="117"/>
        <v>182821.62973034475</v>
      </c>
      <c r="ES63" s="173">
        <f t="shared" si="18"/>
        <v>2.8923383785647985E-2</v>
      </c>
      <c r="ET63" s="273">
        <v>3626323.6858333461</v>
      </c>
      <c r="EU63" s="273">
        <v>3726379.3953115186</v>
      </c>
      <c r="EV63" s="172">
        <f t="shared" si="118"/>
        <v>100055.70947817247</v>
      </c>
      <c r="EW63" s="173">
        <f t="shared" si="19"/>
        <v>2.7591499862257663E-2</v>
      </c>
      <c r="EX63" s="273">
        <v>2135995.2600000002</v>
      </c>
      <c r="EY63" s="273">
        <v>2198818.65</v>
      </c>
      <c r="EZ63" s="172">
        <f t="shared" si="119"/>
        <v>62823.389999999665</v>
      </c>
      <c r="FA63" s="173">
        <f t="shared" si="20"/>
        <v>2.9411764705882193E-2</v>
      </c>
      <c r="FB63" s="172">
        <f t="shared" si="120"/>
        <v>6503715.1698929006</v>
      </c>
      <c r="FC63" s="273">
        <v>6637292.1593742669</v>
      </c>
      <c r="FD63" s="172">
        <f t="shared" si="121"/>
        <v>133576.98948136624</v>
      </c>
      <c r="FE63" s="173">
        <f t="shared" si="21"/>
        <v>2.0538566956271841E-2</v>
      </c>
      <c r="FF63" s="172">
        <f t="shared" si="122"/>
        <v>3726379.3953115186</v>
      </c>
      <c r="FG63" s="273">
        <v>3769332.6800565803</v>
      </c>
      <c r="FH63" s="172">
        <f t="shared" si="123"/>
        <v>42953.28474506177</v>
      </c>
      <c r="FI63" s="173">
        <f t="shared" si="22"/>
        <v>1.1526814687496669E-2</v>
      </c>
      <c r="FJ63" s="172">
        <f t="shared" si="124"/>
        <v>6637292.1593742669</v>
      </c>
      <c r="FK63" s="273">
        <v>6828892.3211041428</v>
      </c>
      <c r="FL63" s="172">
        <f t="shared" si="125"/>
        <v>191600.16172987595</v>
      </c>
      <c r="FM63" s="173">
        <f t="shared" si="23"/>
        <v>2.8867218306680525E-2</v>
      </c>
      <c r="FN63" s="172">
        <f t="shared" si="126"/>
        <v>3769332.6800565803</v>
      </c>
      <c r="FO63" s="273">
        <v>3830829.4867251157</v>
      </c>
      <c r="FP63" s="172">
        <f t="shared" si="127"/>
        <v>61496.806668535341</v>
      </c>
      <c r="FQ63" s="173">
        <f t="shared" si="24"/>
        <v>1.6315038201300987E-2</v>
      </c>
      <c r="FR63" s="172">
        <f t="shared" si="128"/>
        <v>3830829.4867251157</v>
      </c>
      <c r="FS63" s="273">
        <v>3815708.138497679</v>
      </c>
      <c r="FT63" s="172">
        <f t="shared" si="129"/>
        <v>-15121.348227436654</v>
      </c>
      <c r="FU63" s="173">
        <f t="shared" si="25"/>
        <v>-3.9472778101547748E-3</v>
      </c>
      <c r="FV63" s="172">
        <f t="shared" si="26"/>
        <v>2198818.65</v>
      </c>
      <c r="FW63" s="273">
        <v>2389365.3000000003</v>
      </c>
      <c r="FX63" s="172">
        <f t="shared" si="130"/>
        <v>190546.65000000037</v>
      </c>
      <c r="FY63" s="173">
        <f t="shared" si="27"/>
        <v>8.6658647360481678E-2</v>
      </c>
      <c r="FZ63" s="214"/>
      <c r="GA63" s="172">
        <f t="shared" si="151"/>
        <v>6320893.5401625559</v>
      </c>
      <c r="GB63" s="172">
        <f t="shared" si="152"/>
        <v>182821.62973034475</v>
      </c>
      <c r="GC63" s="172">
        <f t="shared" si="153"/>
        <v>133576.98948136624</v>
      </c>
      <c r="GD63" s="172">
        <f t="shared" si="154"/>
        <v>191600.16172987595</v>
      </c>
      <c r="GE63" s="172">
        <f t="shared" si="155"/>
        <v>507998.78094158694</v>
      </c>
      <c r="GF63" s="172">
        <f t="shared" si="156"/>
        <v>6828892.3211041428</v>
      </c>
      <c r="GG63" s="173">
        <f t="shared" si="157"/>
        <v>8.0368191255523441E-2</v>
      </c>
      <c r="GH63" s="244"/>
      <c r="GI63" s="172">
        <f t="shared" si="158"/>
        <v>3626323.6858333461</v>
      </c>
      <c r="GJ63" s="172">
        <f t="shared" si="159"/>
        <v>100055.70947817247</v>
      </c>
      <c r="GK63" s="172">
        <f t="shared" si="160"/>
        <v>42953.28474506177</v>
      </c>
      <c r="GL63" s="172">
        <f t="shared" si="161"/>
        <v>61496.806668535341</v>
      </c>
      <c r="GM63" s="172">
        <f t="shared" si="162"/>
        <v>-15121.348227436654</v>
      </c>
      <c r="GN63" s="172">
        <f t="shared" si="163"/>
        <v>189384.45266433293</v>
      </c>
      <c r="GO63" s="172">
        <f t="shared" si="164"/>
        <v>3815708.138497679</v>
      </c>
      <c r="GP63" s="173">
        <f t="shared" si="165"/>
        <v>5.2224916767409715E-2</v>
      </c>
      <c r="GQ63" s="214"/>
      <c r="GR63" s="172">
        <f t="shared" si="166"/>
        <v>2135995.2600000002</v>
      </c>
      <c r="GS63" s="172">
        <f t="shared" si="167"/>
        <v>62823.389999999665</v>
      </c>
      <c r="GT63" s="172">
        <f t="shared" si="168"/>
        <v>190546.65000000037</v>
      </c>
      <c r="GU63" s="172">
        <f t="shared" si="131"/>
        <v>253370.04000000004</v>
      </c>
      <c r="GV63" s="172">
        <f t="shared" si="132"/>
        <v>2389365.3000000003</v>
      </c>
      <c r="GW63" s="173">
        <f t="shared" si="133"/>
        <v>0.11861919581226038</v>
      </c>
      <c r="GX63" s="214"/>
      <c r="GY63" s="273">
        <v>-232248.37442698987</v>
      </c>
      <c r="GZ63" s="172" t="e">
        <f t="shared" si="134"/>
        <v>#REF!</v>
      </c>
      <c r="HA63" s="172" t="e">
        <f>-VLOOKUP($B63,#REF!,23,FALSE)</f>
        <v>#REF!</v>
      </c>
    </row>
    <row r="64" spans="1:209" ht="15" customHeight="1" x14ac:dyDescent="0.45">
      <c r="A64" s="148">
        <v>2</v>
      </c>
      <c r="B64" s="212" t="s">
        <v>40</v>
      </c>
      <c r="C64" s="172">
        <v>3225076.0586028998</v>
      </c>
      <c r="D64" s="173">
        <f t="shared" si="0"/>
        <v>2.23887747481092E-3</v>
      </c>
      <c r="E64" s="1"/>
      <c r="F64" s="252">
        <v>6185620.2785098767</v>
      </c>
      <c r="G64" s="173">
        <f t="shared" si="1"/>
        <v>2.6320438735035864E-3</v>
      </c>
      <c r="H64" s="173">
        <f t="shared" si="46"/>
        <v>1.175608716026709</v>
      </c>
      <c r="I64" s="172" t="e">
        <f>VLOOKUP($B64,#REF!,24,FALSE)</f>
        <v>#REF!</v>
      </c>
      <c r="J64" s="173" t="e">
        <f t="shared" si="136"/>
        <v>#REF!</v>
      </c>
      <c r="K64" s="173" t="e">
        <f t="shared" si="47"/>
        <v>#REF!</v>
      </c>
      <c r="L64" s="172" t="e">
        <f t="shared" si="48"/>
        <v>#REF!</v>
      </c>
      <c r="M64" s="173" t="e">
        <f t="shared" si="137"/>
        <v>#REF!</v>
      </c>
      <c r="N64" s="173" t="e">
        <f t="shared" si="50"/>
        <v>#REF!</v>
      </c>
      <c r="O64" s="176"/>
      <c r="P64" s="253">
        <v>54</v>
      </c>
      <c r="Q64" s="173">
        <f t="shared" si="138"/>
        <v>3.003671153632217E-3</v>
      </c>
      <c r="R64" s="172" t="e">
        <f>VLOOKUP($B64,#REF!,4,FALSE)</f>
        <v>#REF!</v>
      </c>
      <c r="S64" s="173" t="e">
        <f t="shared" si="139"/>
        <v>#REF!</v>
      </c>
      <c r="T64" s="172" t="e">
        <f t="shared" si="51"/>
        <v>#REF!</v>
      </c>
      <c r="U64" s="173" t="e">
        <f t="shared" si="52"/>
        <v>#REF!</v>
      </c>
      <c r="V64" s="173" t="e">
        <f t="shared" si="53"/>
        <v>#REF!</v>
      </c>
      <c r="W64" s="1"/>
      <c r="X64" s="189">
        <f>VLOOKUP($B64,'Average RAS salary'!$A$5:$D$62,4,FALSE)</f>
        <v>59446.470823529409</v>
      </c>
      <c r="Y64" s="253">
        <v>68069.978350886799</v>
      </c>
      <c r="Z64" s="252" t="s">
        <v>272</v>
      </c>
      <c r="AA64" s="252" t="s">
        <v>272</v>
      </c>
      <c r="AB64" s="173">
        <f t="shared" si="5"/>
        <v>1.16686288394902</v>
      </c>
      <c r="AC64" s="172" t="e">
        <f>VLOOKUP($B64,#REF!,3,FALSE)</f>
        <v>#REF!</v>
      </c>
      <c r="AD64" s="172" t="e">
        <f>VLOOKUP($B64,#REF!,5,FALSE)</f>
        <v>#REF!</v>
      </c>
      <c r="AE64" s="172" t="e">
        <f>VLOOKUP($B64,#REF!,6,FALSE)</f>
        <v>#REF!</v>
      </c>
      <c r="AF64" s="173" t="e">
        <f t="shared" si="6"/>
        <v>#REF!</v>
      </c>
      <c r="AG64" s="172" t="e">
        <f t="shared" si="140"/>
        <v>#REF!</v>
      </c>
      <c r="AH64" s="173" t="e">
        <f t="shared" si="141"/>
        <v>#REF!</v>
      </c>
      <c r="AI64" s="173" t="e">
        <f t="shared" si="142"/>
        <v>#REF!</v>
      </c>
      <c r="AJ64" s="189">
        <v>57970.970666666668</v>
      </c>
      <c r="AK64" s="189">
        <f>VLOOKUP($B64,'Average RAS salary'!$A$5:$D$62,4,FALSE)</f>
        <v>59446.470823529409</v>
      </c>
      <c r="AL64" s="189">
        <f t="shared" si="55"/>
        <v>1475.5001568627413</v>
      </c>
      <c r="AM64" s="173">
        <f t="shared" si="56"/>
        <v>2.545239694789438E-2</v>
      </c>
      <c r="AN64" s="189" t="e">
        <f t="shared" si="57"/>
        <v>#REF!</v>
      </c>
      <c r="AO64" s="189" t="e">
        <f t="shared" si="58"/>
        <v>#REF!</v>
      </c>
      <c r="AP64" s="189" t="e">
        <f t="shared" si="59"/>
        <v>#REF!</v>
      </c>
      <c r="AQ64" s="189" t="e">
        <f t="shared" si="135"/>
        <v>#REF!</v>
      </c>
      <c r="AR64" s="189" t="e">
        <f t="shared" si="60"/>
        <v>#REF!</v>
      </c>
      <c r="AS64" s="189" t="e">
        <f t="shared" si="143"/>
        <v>#REF!</v>
      </c>
      <c r="AT64" s="213" t="e">
        <f t="shared" si="61"/>
        <v>#REF!</v>
      </c>
      <c r="AU64" s="173" t="e">
        <f t="shared" si="62"/>
        <v>#REF!</v>
      </c>
      <c r="AV64" s="189"/>
      <c r="AW64" s="189">
        <f>VLOOKUP($B64,'Average RAS salary'!$A$5:$D$62,4,FALSE)</f>
        <v>59446.470823529409</v>
      </c>
      <c r="AX64" s="189" t="e">
        <f t="shared" si="144"/>
        <v>#REF!</v>
      </c>
      <c r="AY64" s="189">
        <v>47986.722143023428</v>
      </c>
      <c r="AZ64" s="189" t="e">
        <f t="shared" si="145"/>
        <v>#REF!</v>
      </c>
      <c r="BA64" s="189" t="e">
        <f t="shared" si="63"/>
        <v>#REF!</v>
      </c>
      <c r="BB64" s="189" t="e">
        <f t="shared" si="64"/>
        <v>#REF!</v>
      </c>
      <c r="BC64" s="189" t="e">
        <f t="shared" si="65"/>
        <v>#REF!</v>
      </c>
      <c r="BD64" s="213">
        <f t="shared" si="66"/>
        <v>-11459.748680505982</v>
      </c>
      <c r="BE64" s="173">
        <f t="shared" si="169"/>
        <v>-0.19277424751630701</v>
      </c>
      <c r="BF64" s="189"/>
      <c r="BG64" s="189">
        <f>VLOOKUP($B64,'Average RAS salary'!$A$5:$D$62,4,FALSE)</f>
        <v>59446.470823529409</v>
      </c>
      <c r="BH64" s="189" t="e">
        <f t="shared" si="68"/>
        <v>#REF!</v>
      </c>
      <c r="BI64" s="189" t="e">
        <f>$BG$65*#REF!</f>
        <v>#REF!</v>
      </c>
      <c r="BJ64" s="189" t="e">
        <f t="shared" si="69"/>
        <v>#REF!</v>
      </c>
      <c r="BK64" s="189" t="e">
        <f t="shared" si="146"/>
        <v>#REF!</v>
      </c>
      <c r="BL64" s="189" t="e">
        <f t="shared" si="147"/>
        <v>#REF!</v>
      </c>
      <c r="BM64" s="189" t="e">
        <f t="shared" si="70"/>
        <v>#REF!</v>
      </c>
      <c r="BN64" s="213" t="e">
        <f t="shared" si="71"/>
        <v>#REF!</v>
      </c>
      <c r="BO64" s="173" t="e">
        <f t="shared" si="72"/>
        <v>#REF!</v>
      </c>
      <c r="BP64" s="189"/>
      <c r="BQ64" s="189">
        <f>VLOOKUP($B64,'Average RAS salary'!$A$5:$D$62,4,FALSE)</f>
        <v>59446.470823529409</v>
      </c>
      <c r="BR64" s="189" t="e">
        <f t="shared" si="73"/>
        <v>#REF!</v>
      </c>
      <c r="BS64" s="189" t="e">
        <f>VLOOKUP($B64,#REF!,19,FALSE)*$BQ$65</f>
        <v>#REF!</v>
      </c>
      <c r="BT64" s="189" t="e">
        <f t="shared" si="74"/>
        <v>#REF!</v>
      </c>
      <c r="BU64" s="189" t="e">
        <f t="shared" si="75"/>
        <v>#REF!</v>
      </c>
      <c r="BV64" s="189" t="e">
        <f t="shared" si="76"/>
        <v>#REF!</v>
      </c>
      <c r="BW64" s="189" t="e">
        <f t="shared" si="77"/>
        <v>#REF!</v>
      </c>
      <c r="BX64" s="213" t="e">
        <f t="shared" si="78"/>
        <v>#REF!</v>
      </c>
      <c r="BY64" s="173" t="e">
        <f t="shared" si="79"/>
        <v>#REF!</v>
      </c>
      <c r="BZ64" s="189"/>
      <c r="CA64" s="189">
        <f>VLOOKUP($B64,'Average RAS salary'!$A$5:$D$62,4,FALSE)</f>
        <v>59446.470823529409</v>
      </c>
      <c r="CB64" s="189" t="e">
        <f t="shared" si="80"/>
        <v>#REF!</v>
      </c>
      <c r="CC64" s="189" t="e">
        <f>IF(VLOOKUP($B64,#REF!,7,FALSE)&gt;VLOOKUP($B64,#REF!,19,FALSE)*$CA$65,VLOOKUP($B64,#REF!,19,FALSE)*$CA$65,VLOOKUP($B64,#REF!,7,FALSE))</f>
        <v>#REF!</v>
      </c>
      <c r="CD64" s="189" t="e">
        <f t="shared" si="81"/>
        <v>#REF!</v>
      </c>
      <c r="CE64" s="189" t="e">
        <f t="shared" si="82"/>
        <v>#REF!</v>
      </c>
      <c r="CF64" s="189" t="e">
        <f t="shared" si="83"/>
        <v>#REF!</v>
      </c>
      <c r="CG64" s="189" t="e">
        <f t="shared" si="84"/>
        <v>#REF!</v>
      </c>
      <c r="CH64" s="213" t="e">
        <f t="shared" si="85"/>
        <v>#REF!</v>
      </c>
      <c r="CI64" s="173" t="e">
        <f t="shared" si="86"/>
        <v>#REF!</v>
      </c>
      <c r="CJ64" s="189"/>
      <c r="CK64" s="189">
        <f>VLOOKUP($B64,'Average RAS salary'!$A$5:$D$62,4,FALSE)</f>
        <v>59446.470823529409</v>
      </c>
      <c r="CL64" s="189" t="e">
        <f t="shared" si="87"/>
        <v>#REF!</v>
      </c>
      <c r="CM64" s="189" t="e">
        <f>IF($AY64&gt;VLOOKUP($B64,#REF!,19,FALSE)*$CK$65,VLOOKUP($B64,#REF!,19,FALSE)*$CK$65,$AY64)</f>
        <v>#REF!</v>
      </c>
      <c r="CN64" s="189" t="e">
        <f t="shared" si="88"/>
        <v>#REF!</v>
      </c>
      <c r="CO64" s="189" t="e">
        <f t="shared" si="89"/>
        <v>#REF!</v>
      </c>
      <c r="CP64" s="189" t="e">
        <f t="shared" si="90"/>
        <v>#REF!</v>
      </c>
      <c r="CQ64" s="189" t="e">
        <f t="shared" si="91"/>
        <v>#REF!</v>
      </c>
      <c r="CR64" s="213" t="e">
        <f t="shared" si="92"/>
        <v>#REF!</v>
      </c>
      <c r="CS64" s="173" t="e">
        <f t="shared" si="93"/>
        <v>#REF!</v>
      </c>
      <c r="CT64" s="1"/>
      <c r="CU64" s="254">
        <v>0.19054000000813373</v>
      </c>
      <c r="CV64" s="252">
        <v>13803.766468926548</v>
      </c>
      <c r="CW64" s="254">
        <v>0.19053999971173821</v>
      </c>
      <c r="CX64" s="255">
        <v>14915.800495049507</v>
      </c>
      <c r="CY64" s="190" t="e">
        <f>VLOOKUP($B64,#REF!,13,FALSE)</f>
        <v>#REF!</v>
      </c>
      <c r="CZ64" s="172" t="e">
        <f>VLOOKUP($B64,#REF!,14,FALSE)</f>
        <v>#REF!</v>
      </c>
      <c r="DA64" s="190" t="e">
        <f>VLOOKUP($B64,#REF!,15,FALSE)</f>
        <v>#REF!</v>
      </c>
      <c r="DB64" s="189" t="e">
        <f>VLOOKUP($B64,#REF!,16,FALSE)</f>
        <v>#REF!</v>
      </c>
      <c r="DC64" s="190" t="e">
        <f t="shared" si="94"/>
        <v>#REF!</v>
      </c>
      <c r="DD64" s="190" t="e">
        <f t="shared" si="95"/>
        <v>#REF!</v>
      </c>
      <c r="DE64" s="190" t="e">
        <f t="shared" si="96"/>
        <v>#REF!</v>
      </c>
      <c r="DF64" s="190" t="e">
        <f t="shared" si="97"/>
        <v>#REF!</v>
      </c>
      <c r="DG64" s="1"/>
      <c r="DH64" s="253" t="s">
        <v>272</v>
      </c>
      <c r="DI64" s="253">
        <v>0</v>
      </c>
      <c r="DJ64" s="173">
        <f t="shared" si="98"/>
        <v>0</v>
      </c>
      <c r="DK64" s="172" t="e">
        <f>IF(VLOOKUP($B64,#REF!,6,FALSE)="Y","Yes","")</f>
        <v>#REF!</v>
      </c>
      <c r="DL64" s="172" t="e">
        <f>VLOOKUP($B64,#REF!,4,FALSE)</f>
        <v>#REF!</v>
      </c>
      <c r="DM64" s="173" t="e">
        <f t="shared" si="148"/>
        <v>#REF!</v>
      </c>
      <c r="DN64" s="1"/>
      <c r="DO64" s="172">
        <f t="shared" si="99"/>
        <v>6185620.2785098767</v>
      </c>
      <c r="DP64" s="252">
        <v>4961988.4751930572</v>
      </c>
      <c r="DQ64" s="172">
        <f t="shared" si="100"/>
        <v>-1223631.8033168195</v>
      </c>
      <c r="DR64" s="173">
        <f t="shared" si="149"/>
        <v>-0.19781877131513703</v>
      </c>
      <c r="DS64" s="172">
        <f t="shared" si="101"/>
        <v>4961988.4751930572</v>
      </c>
      <c r="DT64" s="252">
        <v>5045616.8830401059</v>
      </c>
      <c r="DU64" s="172">
        <f t="shared" si="102"/>
        <v>83628.407847048715</v>
      </c>
      <c r="DV64" s="173">
        <f t="shared" si="103"/>
        <v>1.351980950683169E-2</v>
      </c>
      <c r="DW64" s="172">
        <f t="shared" si="104"/>
        <v>5045616.8830401059</v>
      </c>
      <c r="DX64" s="252">
        <v>5954787.1094313953</v>
      </c>
      <c r="DY64" s="172">
        <f t="shared" si="105"/>
        <v>909170.22639128938</v>
      </c>
      <c r="DZ64" s="173">
        <f t="shared" si="106"/>
        <v>0.14698125417590449</v>
      </c>
      <c r="EA64" s="172">
        <f t="shared" si="107"/>
        <v>5954787.1094313953</v>
      </c>
      <c r="EB64" s="252">
        <v>6157351.2950029615</v>
      </c>
      <c r="EC64" s="172">
        <f t="shared" si="108"/>
        <v>202564.18557156622</v>
      </c>
      <c r="ED64" s="173">
        <f t="shared" si="109"/>
        <v>3.2747594655190213E-2</v>
      </c>
      <c r="EE64" s="172">
        <f t="shared" si="110"/>
        <v>6157351.2950029615</v>
      </c>
      <c r="EF64" s="252">
        <v>6192659.9013387216</v>
      </c>
      <c r="EG64" s="172">
        <f t="shared" si="111"/>
        <v>35308.606335760094</v>
      </c>
      <c r="EH64" s="173">
        <f t="shared" si="112"/>
        <v>5.708175533895847E-3</v>
      </c>
      <c r="EI64" s="172">
        <f t="shared" si="113"/>
        <v>6192659.9013387216</v>
      </c>
      <c r="EJ64" s="252">
        <v>6185620.2785098767</v>
      </c>
      <c r="EK64" s="172">
        <f t="shared" si="114"/>
        <v>-7039.6228288449347</v>
      </c>
      <c r="EL64" s="173">
        <f t="shared" si="115"/>
        <v>-1.1380625566852268E-3</v>
      </c>
      <c r="EM64" s="172">
        <f t="shared" si="116"/>
        <v>0</v>
      </c>
      <c r="EN64" s="173">
        <f t="shared" si="150"/>
        <v>0</v>
      </c>
      <c r="EO64" s="214"/>
      <c r="EP64" s="273">
        <v>3793016.0134711764</v>
      </c>
      <c r="EQ64" s="273">
        <v>3724946.0351202893</v>
      </c>
      <c r="ER64" s="172">
        <f t="shared" si="117"/>
        <v>-68069.978350887075</v>
      </c>
      <c r="ES64" s="173">
        <f t="shared" si="18"/>
        <v>-1.794613524148897E-2</v>
      </c>
      <c r="ET64" s="273">
        <v>1477020.9325725129</v>
      </c>
      <c r="EU64" s="273">
        <v>1450247.1124280544</v>
      </c>
      <c r="EV64" s="172">
        <f t="shared" si="118"/>
        <v>-26773.820144458441</v>
      </c>
      <c r="EW64" s="173">
        <f t="shared" si="19"/>
        <v>-1.8126906365386941E-2</v>
      </c>
      <c r="EX64" s="273">
        <v>1130821.02</v>
      </c>
      <c r="EY64" s="273">
        <v>1109879.8900000001</v>
      </c>
      <c r="EZ64" s="172">
        <f t="shared" si="119"/>
        <v>-20941.129999999888</v>
      </c>
      <c r="FA64" s="173">
        <f t="shared" si="20"/>
        <v>-1.851851851851842E-2</v>
      </c>
      <c r="FB64" s="172">
        <f t="shared" si="120"/>
        <v>3724946.0351202893</v>
      </c>
      <c r="FC64" s="273">
        <v>3803900.955688234</v>
      </c>
      <c r="FD64" s="172">
        <f t="shared" si="121"/>
        <v>78954.920567944646</v>
      </c>
      <c r="FE64" s="173">
        <f t="shared" si="21"/>
        <v>2.1196258905102492E-2</v>
      </c>
      <c r="FF64" s="172">
        <f t="shared" si="122"/>
        <v>1450247.1124280544</v>
      </c>
      <c r="FG64" s="273">
        <v>1465291.1829883298</v>
      </c>
      <c r="FH64" s="172">
        <f t="shared" si="123"/>
        <v>15044.070560275344</v>
      </c>
      <c r="FI64" s="173">
        <f t="shared" si="22"/>
        <v>1.0373453207631653E-2</v>
      </c>
      <c r="FJ64" s="172">
        <f t="shared" si="124"/>
        <v>3803900.955688234</v>
      </c>
      <c r="FK64" s="273">
        <v>3805154.7041535713</v>
      </c>
      <c r="FL64" s="172">
        <f t="shared" si="125"/>
        <v>1253.7484653373249</v>
      </c>
      <c r="FM64" s="173">
        <f t="shared" si="23"/>
        <v>3.2959545475612579E-4</v>
      </c>
      <c r="FN64" s="172">
        <f t="shared" si="126"/>
        <v>1465291.1829883298</v>
      </c>
      <c r="FO64" s="273">
        <v>1465530.0722208591</v>
      </c>
      <c r="FP64" s="172">
        <f t="shared" si="127"/>
        <v>238.88923252932727</v>
      </c>
      <c r="FQ64" s="173">
        <f t="shared" si="24"/>
        <v>1.6303191836733374E-4</v>
      </c>
      <c r="FR64" s="172">
        <f t="shared" si="128"/>
        <v>1465530.0722208591</v>
      </c>
      <c r="FS64" s="273">
        <v>1452954.7101472586</v>
      </c>
      <c r="FT64" s="172">
        <f t="shared" si="129"/>
        <v>-12575.362073600525</v>
      </c>
      <c r="FU64" s="173">
        <f t="shared" si="25"/>
        <v>-8.5807601713309544E-3</v>
      </c>
      <c r="FV64" s="172">
        <f t="shared" si="26"/>
        <v>1109879.8900000001</v>
      </c>
      <c r="FW64" s="273">
        <v>1206060.58</v>
      </c>
      <c r="FX64" s="172">
        <f t="shared" si="130"/>
        <v>96180.689999999944</v>
      </c>
      <c r="FY64" s="173">
        <f t="shared" si="27"/>
        <v>8.6658647360481442E-2</v>
      </c>
      <c r="FZ64" s="214"/>
      <c r="GA64" s="172">
        <f t="shared" si="151"/>
        <v>3793016.0134711764</v>
      </c>
      <c r="GB64" s="172">
        <f t="shared" si="152"/>
        <v>-68069.978350887075</v>
      </c>
      <c r="GC64" s="172">
        <f t="shared" si="153"/>
        <v>78954.920567944646</v>
      </c>
      <c r="GD64" s="172">
        <f t="shared" si="154"/>
        <v>1253.7484653373249</v>
      </c>
      <c r="GE64" s="172">
        <f t="shared" si="155"/>
        <v>12138.690682394896</v>
      </c>
      <c r="GF64" s="172">
        <f t="shared" si="156"/>
        <v>3805154.7041535713</v>
      </c>
      <c r="GG64" s="173">
        <f t="shared" si="157"/>
        <v>3.2002740403107815E-3</v>
      </c>
      <c r="GH64" s="244"/>
      <c r="GI64" s="172">
        <f t="shared" si="158"/>
        <v>1477020.9325725129</v>
      </c>
      <c r="GJ64" s="172">
        <f t="shared" si="159"/>
        <v>-26773.820144458441</v>
      </c>
      <c r="GK64" s="172">
        <f t="shared" si="160"/>
        <v>15044.070560275344</v>
      </c>
      <c r="GL64" s="172">
        <f t="shared" si="161"/>
        <v>238.88923252932727</v>
      </c>
      <c r="GM64" s="172">
        <f t="shared" si="162"/>
        <v>-12575.362073600525</v>
      </c>
      <c r="GN64" s="172">
        <f t="shared" si="163"/>
        <v>-24066.222425254295</v>
      </c>
      <c r="GO64" s="172">
        <f t="shared" si="164"/>
        <v>1452954.7101472586</v>
      </c>
      <c r="GP64" s="173">
        <f t="shared" si="165"/>
        <v>-1.6293758534172153E-2</v>
      </c>
      <c r="GQ64" s="214"/>
      <c r="GR64" s="172">
        <f t="shared" si="166"/>
        <v>1130821.02</v>
      </c>
      <c r="GS64" s="172">
        <f t="shared" si="167"/>
        <v>-20941.129999999888</v>
      </c>
      <c r="GT64" s="172">
        <f t="shared" si="168"/>
        <v>96180.689999999944</v>
      </c>
      <c r="GU64" s="172">
        <f t="shared" si="131"/>
        <v>75239.560000000056</v>
      </c>
      <c r="GV64" s="172">
        <f t="shared" si="132"/>
        <v>1206060.58</v>
      </c>
      <c r="GW64" s="173">
        <f t="shared" si="133"/>
        <v>6.6535339076028183E-2</v>
      </c>
      <c r="GX64" s="214"/>
      <c r="GY64" s="273">
        <v>-215237.68753381146</v>
      </c>
      <c r="GZ64" s="172" t="e">
        <f t="shared" si="134"/>
        <v>#REF!</v>
      </c>
      <c r="HA64" s="172" t="e">
        <f>-VLOOKUP($B64,#REF!,23,FALSE)</f>
        <v>#REF!</v>
      </c>
    </row>
    <row r="65" spans="1:209" x14ac:dyDescent="0.45">
      <c r="A65" s="148"/>
      <c r="B65" s="216" t="s">
        <v>62</v>
      </c>
      <c r="C65" s="211">
        <f t="shared" ref="C65:F65" si="170">SUM(C7:C64)</f>
        <v>1440487965.4592385</v>
      </c>
      <c r="D65" s="207">
        <f t="shared" si="0"/>
        <v>1</v>
      </c>
      <c r="E65" s="1"/>
      <c r="F65" s="211">
        <f t="shared" si="170"/>
        <v>2350120505.5051103</v>
      </c>
      <c r="G65" s="207">
        <f t="shared" si="1"/>
        <v>1</v>
      </c>
      <c r="H65" s="207"/>
      <c r="I65" s="211" t="e">
        <f>SUM(I7:I64)</f>
        <v>#REF!</v>
      </c>
      <c r="J65" s="207" t="e">
        <f t="shared" si="136"/>
        <v>#REF!</v>
      </c>
      <c r="K65" s="207"/>
      <c r="L65" s="211" t="e">
        <f t="shared" ref="L65" si="171">SUM(L7:L64)</f>
        <v>#REF!</v>
      </c>
      <c r="M65" s="207" t="e">
        <f t="shared" si="137"/>
        <v>#REF!</v>
      </c>
      <c r="N65" s="207"/>
      <c r="O65" s="1"/>
      <c r="P65" s="211">
        <f>SUM(P7:P64)</f>
        <v>17978</v>
      </c>
      <c r="Q65" s="207">
        <f t="shared" si="138"/>
        <v>1</v>
      </c>
      <c r="R65" s="211" t="e">
        <f>SUM(R7:R64)</f>
        <v>#REF!</v>
      </c>
      <c r="S65" s="207" t="e">
        <f t="shared" si="139"/>
        <v>#REF!</v>
      </c>
      <c r="T65" s="211" t="e">
        <f>SUM(T7:T64)</f>
        <v>#REF!</v>
      </c>
      <c r="U65" s="207" t="e">
        <f t="shared" si="52"/>
        <v>#REF!</v>
      </c>
      <c r="V65" s="207"/>
      <c r="W65" s="1"/>
      <c r="X65" s="191">
        <f>'Average RAS salary'!$D$64</f>
        <v>59493.644271865458</v>
      </c>
      <c r="Y65" s="211">
        <v>58335.884436153479</v>
      </c>
      <c r="Z65" s="211">
        <f>COUNTIF(Z7:Z64,"Yes")</f>
        <v>18</v>
      </c>
      <c r="AA65" s="211">
        <f>COUNTIF(AA7:AA64,"Yes")</f>
        <v>9</v>
      </c>
      <c r="AB65" s="207">
        <f t="shared" si="5"/>
        <v>1</v>
      </c>
      <c r="AC65" s="211">
        <f>'Average RAS salary'!$D$64</f>
        <v>59493.644271865458</v>
      </c>
      <c r="AD65" s="211">
        <f>COUNTIF(AD7:AD64,"Yes")</f>
        <v>0</v>
      </c>
      <c r="AE65" s="211">
        <f>COUNTIF(AE7:AE64,"Yes")</f>
        <v>0</v>
      </c>
      <c r="AF65" s="207">
        <f t="shared" si="6"/>
        <v>1</v>
      </c>
      <c r="AG65" s="211">
        <f t="shared" si="140"/>
        <v>1157.7598357119787</v>
      </c>
      <c r="AH65" s="207">
        <f t="shared" si="141"/>
        <v>1.9846443521039009E-2</v>
      </c>
      <c r="AI65" s="207"/>
      <c r="AJ65" s="191">
        <v>56396.445094629249</v>
      </c>
      <c r="AK65" s="191">
        <f>'Average RAS salary'!$D$64</f>
        <v>59493.644271865458</v>
      </c>
      <c r="AL65" s="191">
        <f>AK65-AJ65</f>
        <v>3097.1991772362089</v>
      </c>
      <c r="AM65" s="207">
        <f t="shared" si="56"/>
        <v>5.4918340545034847E-2</v>
      </c>
      <c r="AN65" s="191" t="e">
        <f>SUM(AN7:AN64)</f>
        <v>#REF!</v>
      </c>
      <c r="AO65" s="207"/>
      <c r="AP65" s="191" t="e">
        <f>SUM(AP7:AP64)</f>
        <v>#REF!</v>
      </c>
      <c r="AQ65" s="191" t="e">
        <f>SUM(AQ7:AQ64)</f>
        <v>#REF!</v>
      </c>
      <c r="AR65" s="191" t="e">
        <f>SUM(AR7:AR64)</f>
        <v>#REF!</v>
      </c>
      <c r="AS65" s="191" t="e">
        <f>SUM(AS7:AS64)</f>
        <v>#REF!</v>
      </c>
      <c r="AT65" s="217" t="e">
        <f>(AP65-AN65)/R65</f>
        <v>#REF!</v>
      </c>
      <c r="AU65" s="207" t="e">
        <f t="shared" si="62"/>
        <v>#REF!</v>
      </c>
      <c r="AV65" s="191"/>
      <c r="AW65" s="191">
        <f>'Average RAS salary'!$D$64</f>
        <v>59493.644271865458</v>
      </c>
      <c r="AX65" s="191" t="e">
        <f>SUM(AX7:AX64)</f>
        <v>#REF!</v>
      </c>
      <c r="AY65" s="207"/>
      <c r="AZ65" s="191" t="e">
        <f>SUM(AZ7:AZ64)</f>
        <v>#REF!</v>
      </c>
      <c r="BA65" s="191" t="e">
        <f>SUM(BA7:BA64)</f>
        <v>#REF!</v>
      </c>
      <c r="BB65" s="191" t="e">
        <f>SUM(BB7:BB64)</f>
        <v>#REF!</v>
      </c>
      <c r="BC65" s="191" t="e">
        <f>SUM(BC7:BC64)</f>
        <v>#REF!</v>
      </c>
      <c r="BD65" s="217" t="e">
        <f>(AZ65-AX65)/R65</f>
        <v>#REF!</v>
      </c>
      <c r="BE65" s="207" t="e">
        <f t="shared" si="169"/>
        <v>#REF!</v>
      </c>
      <c r="BF65" s="191"/>
      <c r="BG65" s="191" t="e">
        <f>#REF!</f>
        <v>#REF!</v>
      </c>
      <c r="BH65" s="191" t="e">
        <f>SUM(BH7:BH64)</f>
        <v>#REF!</v>
      </c>
      <c r="BI65" s="207"/>
      <c r="BJ65" s="191" t="e">
        <f>SUM(BJ7:BJ64)</f>
        <v>#REF!</v>
      </c>
      <c r="BK65" s="191" t="e">
        <f>SUM(BK7:BK64)</f>
        <v>#REF!</v>
      </c>
      <c r="BL65" s="191" t="e">
        <f>SUM(BL7:BL64)</f>
        <v>#REF!</v>
      </c>
      <c r="BM65" s="191" t="e">
        <f>SUM(BM7:BM64)</f>
        <v>#REF!</v>
      </c>
      <c r="BN65" s="217" t="e">
        <f>(BJ65-BH65)/R65</f>
        <v>#REF!</v>
      </c>
      <c r="BO65" s="207" t="e">
        <f t="shared" si="72"/>
        <v>#REF!</v>
      </c>
      <c r="BP65" s="191"/>
      <c r="BQ65" s="191" t="e">
        <f>#REF!</f>
        <v>#REF!</v>
      </c>
      <c r="BR65" s="191" t="e">
        <f>SUM(BR7:BR64)</f>
        <v>#REF!</v>
      </c>
      <c r="BS65" s="207"/>
      <c r="BT65" s="191" t="e">
        <f>SUM(BT7:BT64)</f>
        <v>#REF!</v>
      </c>
      <c r="BU65" s="191" t="e">
        <f>SUM(BU7:BU64)</f>
        <v>#REF!</v>
      </c>
      <c r="BV65" s="191" t="e">
        <f>SUM(BV7:BV64)</f>
        <v>#REF!</v>
      </c>
      <c r="BW65" s="191" t="e">
        <f>SUM(BW7:BW64)</f>
        <v>#REF!</v>
      </c>
      <c r="BX65" s="217" t="e">
        <f>(BT65-BR65)/R65</f>
        <v>#REF!</v>
      </c>
      <c r="BY65" s="207" t="e">
        <f t="shared" ref="BY65" si="172">BX65/BQ65</f>
        <v>#REF!</v>
      </c>
      <c r="BZ65" s="191"/>
      <c r="CA65" s="191" t="e">
        <f>#REF!</f>
        <v>#REF!</v>
      </c>
      <c r="CB65" s="191" t="e">
        <f>SUM(CB7:CB64)</f>
        <v>#REF!</v>
      </c>
      <c r="CC65" s="207"/>
      <c r="CD65" s="191" t="e">
        <f>SUM(CD7:CD64)</f>
        <v>#REF!</v>
      </c>
      <c r="CE65" s="191" t="e">
        <f>SUM(CE7:CE64)</f>
        <v>#REF!</v>
      </c>
      <c r="CF65" s="191" t="e">
        <f>SUM(CF7:CF64)</f>
        <v>#REF!</v>
      </c>
      <c r="CG65" s="191" t="e">
        <f>SUM(CG7:CG64)</f>
        <v>#REF!</v>
      </c>
      <c r="CH65" s="217" t="e">
        <f>(CD65-CB65)/$R65</f>
        <v>#REF!</v>
      </c>
      <c r="CI65" s="207" t="e">
        <f t="shared" si="86"/>
        <v>#REF!</v>
      </c>
      <c r="CJ65" s="191"/>
      <c r="CK65" s="191" t="e">
        <f>#REF!</f>
        <v>#REF!</v>
      </c>
      <c r="CL65" s="191" t="e">
        <f>SUM(CL7:CL64)</f>
        <v>#REF!</v>
      </c>
      <c r="CM65" s="207"/>
      <c r="CN65" s="191" t="e">
        <f>SUM(CN7:CN64)</f>
        <v>#REF!</v>
      </c>
      <c r="CO65" s="191" t="e">
        <f>SUM(CO7:CO64)</f>
        <v>#REF!</v>
      </c>
      <c r="CP65" s="191" t="e">
        <f>SUM(CP7:CP64)</f>
        <v>#REF!</v>
      </c>
      <c r="CQ65" s="191" t="e">
        <f>SUM(CQ7:CQ64)</f>
        <v>#REF!</v>
      </c>
      <c r="CR65" s="217" t="e">
        <f>(CN65-CL65)/$R65</f>
        <v>#REF!</v>
      </c>
      <c r="CS65" s="207" t="e">
        <f t="shared" si="93"/>
        <v>#REF!</v>
      </c>
      <c r="CT65" s="1"/>
      <c r="CU65" s="218"/>
      <c r="CV65" s="211"/>
      <c r="CW65" s="218"/>
      <c r="CX65" s="191"/>
      <c r="CY65" s="218"/>
      <c r="CZ65" s="211"/>
      <c r="DA65" s="218"/>
      <c r="DB65" s="191"/>
      <c r="DC65" s="218"/>
      <c r="DD65" s="211"/>
      <c r="DE65" s="218"/>
      <c r="DF65" s="191"/>
      <c r="DG65" s="1"/>
      <c r="DH65" s="211">
        <f>COUNTIF(DH7:DH64,"Yes")</f>
        <v>7</v>
      </c>
      <c r="DI65" s="211">
        <f>SUM(DI7:DI64)</f>
        <v>505581.93521710823</v>
      </c>
      <c r="DJ65" s="207">
        <f>DH65/DH$65</f>
        <v>1</v>
      </c>
      <c r="DK65" s="211">
        <f>COUNTIF(DK7:DK64,"Yes")</f>
        <v>0</v>
      </c>
      <c r="DL65" s="211" t="e">
        <f>SUM(DL7:DL64)</f>
        <v>#REF!</v>
      </c>
      <c r="DM65" s="207" t="e">
        <f t="shared" si="148"/>
        <v>#REF!</v>
      </c>
      <c r="DN65" s="1"/>
      <c r="DO65" s="211">
        <f t="shared" ref="DO65" si="173">SUM(DO7:DO64)</f>
        <v>2350120505.5051103</v>
      </c>
      <c r="DP65" s="211">
        <f t="shared" ref="DP65" si="174">SUM(DP7:DP64)</f>
        <v>2297439141.1267018</v>
      </c>
      <c r="DQ65" s="211">
        <f t="shared" ref="DQ65" si="175">SUM(DQ7:DQ64)</f>
        <v>-52681364.378409378</v>
      </c>
      <c r="DR65" s="207">
        <f t="shared" si="149"/>
        <v>-2.2416452371273873E-2</v>
      </c>
      <c r="DS65" s="211">
        <f t="shared" ref="DS65" si="176">SUM(DS7:DS64)</f>
        <v>2297439141.1267018</v>
      </c>
      <c r="DT65" s="211">
        <f t="shared" ref="DT65" si="177">SUM(DT7:DT64)</f>
        <v>2340664534.0811877</v>
      </c>
      <c r="DU65" s="211">
        <f t="shared" ref="DU65" si="178">SUM(DU7:DU64)</f>
        <v>43225392.954486147</v>
      </c>
      <c r="DV65" s="207">
        <f t="shared" si="103"/>
        <v>1.8392841070588306E-2</v>
      </c>
      <c r="DW65" s="211">
        <f t="shared" ref="DW65" si="179">SUM(DW7:DW64)</f>
        <v>2340664534.0811877</v>
      </c>
      <c r="DX65" s="211">
        <f t="shared" ref="DX65" si="180">SUM(DX7:DX64)</f>
        <v>2349774958.5901885</v>
      </c>
      <c r="DY65" s="211">
        <f t="shared" ref="DY65" si="181">SUM(DY7:DY64)</f>
        <v>9110424.5090015028</v>
      </c>
      <c r="DZ65" s="207">
        <f t="shared" si="106"/>
        <v>3.8765776000254095E-3</v>
      </c>
      <c r="EA65" s="211">
        <f t="shared" ref="EA65" si="182">SUM(EA7:EA64)</f>
        <v>2349774958.5901885</v>
      </c>
      <c r="EB65" s="211">
        <f t="shared" ref="EB65" si="183">SUM(EB7:EB64)</f>
        <v>2338233230.0149574</v>
      </c>
      <c r="EC65" s="211">
        <f t="shared" ref="EC65:EM65" si="184">SUM(EC7:EC64)</f>
        <v>-11541728.575231751</v>
      </c>
      <c r="ED65" s="207">
        <f t="shared" si="109"/>
        <v>-4.9111220246772381E-3</v>
      </c>
      <c r="EE65" s="211">
        <f t="shared" ref="EE65:EG65" si="185">SUM(EE7:EE64)</f>
        <v>2338233230.0149574</v>
      </c>
      <c r="EF65" s="211">
        <f t="shared" si="185"/>
        <v>2350253383.9161329</v>
      </c>
      <c r="EG65" s="211">
        <f t="shared" si="185"/>
        <v>12020153.901176415</v>
      </c>
      <c r="EH65" s="207">
        <f>EG65/DO65</f>
        <v>5.1146968306601493E-3</v>
      </c>
      <c r="EI65" s="211">
        <f t="shared" ref="EI65:EK65" si="186">SUM(EI7:EI64)</f>
        <v>2350253383.9161329</v>
      </c>
      <c r="EJ65" s="211">
        <f t="shared" si="186"/>
        <v>2350120505.5051103</v>
      </c>
      <c r="EK65" s="211">
        <f t="shared" si="186"/>
        <v>-132878.41102292959</v>
      </c>
      <c r="EL65" s="207">
        <f t="shared" si="115"/>
        <v>-5.6541105322754546E-5</v>
      </c>
      <c r="EM65" s="211">
        <f t="shared" si="184"/>
        <v>0</v>
      </c>
      <c r="EN65" s="207">
        <f t="shared" si="150"/>
        <v>0</v>
      </c>
      <c r="EO65" s="214"/>
      <c r="EP65" s="211">
        <f t="shared" ref="EP65:ER65" si="187">SUM(EP7:EP64)</f>
        <v>1281014436.9763539</v>
      </c>
      <c r="EQ65" s="211">
        <f t="shared" si="187"/>
        <v>1240571201.8078876</v>
      </c>
      <c r="ER65" s="211">
        <f t="shared" si="187"/>
        <v>-40443235.168465815</v>
      </c>
      <c r="ES65" s="207">
        <f t="shared" si="18"/>
        <v>-3.1571256342688939E-2</v>
      </c>
      <c r="ET65" s="211">
        <f t="shared" ref="ET65:EV65" si="188">SUM(ET7:ET64)</f>
        <v>730675208.55104566</v>
      </c>
      <c r="EU65" s="211">
        <f t="shared" si="188"/>
        <v>708156438.71981215</v>
      </c>
      <c r="EV65" s="211">
        <f t="shared" si="188"/>
        <v>-22518769.831233624</v>
      </c>
      <c r="EW65" s="207">
        <f t="shared" si="19"/>
        <v>-3.0819123966021961E-2</v>
      </c>
      <c r="EX65" s="211">
        <f t="shared" ref="EX65:EZ65" si="189">SUM(EX7:EX64)</f>
        <v>378693037.69000006</v>
      </c>
      <c r="EY65" s="211">
        <f t="shared" si="189"/>
        <v>366891465.90999985</v>
      </c>
      <c r="EZ65" s="211">
        <f t="shared" si="189"/>
        <v>-11801571.780000001</v>
      </c>
      <c r="FA65" s="207">
        <f t="shared" si="20"/>
        <v>-3.1163952345120285E-2</v>
      </c>
      <c r="FB65" s="211">
        <f t="shared" ref="FB65:FD65" si="190">SUM(FB7:FB64)</f>
        <v>1240571201.8078876</v>
      </c>
      <c r="FC65" s="211">
        <f t="shared" si="190"/>
        <v>1265275627.7311323</v>
      </c>
      <c r="FD65" s="211">
        <f t="shared" si="190"/>
        <v>24704425.923244413</v>
      </c>
      <c r="FE65" s="207">
        <f t="shared" si="21"/>
        <v>1.9913750929606129E-2</v>
      </c>
      <c r="FF65" s="211">
        <f t="shared" ref="FF65:FH65" si="191">SUM(FF7:FF64)</f>
        <v>708156438.71981215</v>
      </c>
      <c r="FG65" s="211">
        <f t="shared" si="191"/>
        <v>716530864.26467228</v>
      </c>
      <c r="FH65" s="211">
        <f t="shared" si="191"/>
        <v>8374425.5448602587</v>
      </c>
      <c r="FI65" s="207">
        <f t="shared" si="22"/>
        <v>1.1825671683504482E-2</v>
      </c>
      <c r="FJ65" s="211">
        <f t="shared" ref="FJ65:FL65" si="192">SUM(FJ7:FJ64)</f>
        <v>1265275627.7311323</v>
      </c>
      <c r="FK65" s="211">
        <f t="shared" si="192"/>
        <v>1275385942.4178419</v>
      </c>
      <c r="FL65" s="211">
        <f t="shared" si="192"/>
        <v>10110314.68670929</v>
      </c>
      <c r="FM65" s="207">
        <f t="shared" si="23"/>
        <v>7.9906025731633756E-3</v>
      </c>
      <c r="FN65" s="211">
        <f t="shared" ref="FN65:FP65" si="193">SUM(FN7:FN64)</f>
        <v>716530864.26467228</v>
      </c>
      <c r="FO65" s="211">
        <f t="shared" si="193"/>
        <v>719243207.39716256</v>
      </c>
      <c r="FP65" s="211">
        <f t="shared" si="193"/>
        <v>2712343.1324899793</v>
      </c>
      <c r="FQ65" s="207">
        <f t="shared" si="24"/>
        <v>3.7853821346181308E-3</v>
      </c>
      <c r="FR65" s="211">
        <f t="shared" ref="FR65:FT65" si="194">SUM(FR7:FR64)</f>
        <v>719243207.39716256</v>
      </c>
      <c r="FS65" s="211">
        <f t="shared" si="194"/>
        <v>710420145.95228612</v>
      </c>
      <c r="FT65" s="211">
        <f t="shared" si="194"/>
        <v>-8823061.4448763914</v>
      </c>
      <c r="FU65" s="207">
        <f t="shared" si="25"/>
        <v>-1.2267146014219276E-2</v>
      </c>
      <c r="FV65" s="211">
        <f t="shared" ref="FV65:FX65" si="195">SUM(FV7:FV64)</f>
        <v>366891465.90999985</v>
      </c>
      <c r="FW65" s="211">
        <f t="shared" si="195"/>
        <v>398791614.69999987</v>
      </c>
      <c r="FX65" s="211">
        <f t="shared" si="195"/>
        <v>31900148.790000003</v>
      </c>
      <c r="FY65" s="207">
        <f t="shared" si="27"/>
        <v>8.6947099494064692E-2</v>
      </c>
      <c r="FZ65" s="214"/>
      <c r="GA65" s="211">
        <f t="shared" ref="GA65:GF65" si="196">SUM(GA7:GA64)</f>
        <v>1281014436.9763539</v>
      </c>
      <c r="GB65" s="211">
        <f t="shared" si="196"/>
        <v>-40443235.168465815</v>
      </c>
      <c r="GC65" s="211">
        <f t="shared" si="196"/>
        <v>24704425.923244413</v>
      </c>
      <c r="GD65" s="211">
        <f>SUM(GD7:GD64)</f>
        <v>10110314.68670929</v>
      </c>
      <c r="GE65" s="211">
        <f t="shared" ref="GE65" si="197">SUM(GE7:GE64)</f>
        <v>-5628494.5585121214</v>
      </c>
      <c r="GF65" s="211">
        <f t="shared" si="196"/>
        <v>1275385942.4178419</v>
      </c>
      <c r="GG65" s="207">
        <f t="shared" si="157"/>
        <v>-4.3937791769133802E-3</v>
      </c>
      <c r="GH65" s="214"/>
      <c r="GI65" s="211">
        <f t="shared" ref="GI65:GO65" si="198">SUM(GI7:GI64)</f>
        <v>730675208.55104566</v>
      </c>
      <c r="GJ65" s="211">
        <f t="shared" si="198"/>
        <v>-22518769.831233624</v>
      </c>
      <c r="GK65" s="211">
        <f t="shared" si="198"/>
        <v>8374425.5448602587</v>
      </c>
      <c r="GL65" s="211">
        <f t="shared" ref="GL65" si="199">SUM(GL7:GL64)</f>
        <v>2712343.1324899793</v>
      </c>
      <c r="GM65" s="211">
        <f t="shared" si="198"/>
        <v>-8823061.4448763914</v>
      </c>
      <c r="GN65" s="211">
        <f t="shared" si="198"/>
        <v>-20255062.598759778</v>
      </c>
      <c r="GO65" s="211">
        <f t="shared" si="198"/>
        <v>710420145.95228612</v>
      </c>
      <c r="GP65" s="207">
        <f t="shared" si="165"/>
        <v>-2.7721020724004408E-2</v>
      </c>
      <c r="GQ65" s="214"/>
      <c r="GR65" s="211">
        <f t="shared" ref="GR65:GV65" si="200">SUM(GR7:GR64)</f>
        <v>378693037.69000006</v>
      </c>
      <c r="GS65" s="211">
        <f t="shared" si="200"/>
        <v>-11801571.780000001</v>
      </c>
      <c r="GT65" s="211">
        <f t="shared" ref="GT65" si="201">SUM(GT7:GT64)</f>
        <v>31900148.790000003</v>
      </c>
      <c r="GU65" s="211">
        <f t="shared" si="200"/>
        <v>20098577.009999987</v>
      </c>
      <c r="GV65" s="211">
        <f t="shared" si="200"/>
        <v>398791614.69999987</v>
      </c>
      <c r="GW65" s="207">
        <f t="shared" si="133"/>
        <v>5.307353188376486E-2</v>
      </c>
      <c r="GX65" s="214"/>
      <c r="GY65" s="211">
        <f t="shared" ref="GY65:HA65" si="202">SUM(GY7:GY64)</f>
        <v>-40262177.712288782</v>
      </c>
      <c r="GZ65" s="211" t="e">
        <f t="shared" si="202"/>
        <v>#REF!</v>
      </c>
      <c r="HA65" s="211" t="e">
        <f t="shared" si="202"/>
        <v>#REF!</v>
      </c>
    </row>
    <row r="66" spans="1:209" ht="17.25" customHeight="1" x14ac:dyDescent="0.45">
      <c r="A66" s="49"/>
      <c r="B66" s="171"/>
      <c r="C66" s="171"/>
      <c r="F66" s="171"/>
      <c r="I66" s="177" t="e">
        <f>(GF65+GO65+GV65+HA65)-I65</f>
        <v>#REF!</v>
      </c>
      <c r="L66" s="171"/>
      <c r="V66" s="171"/>
      <c r="W66" s="200"/>
      <c r="X66" s="191">
        <f>SUM('Average RAS salary'!B5:B62)/SUM('Average RAS salary'!C5:C62)</f>
        <v>66561.759574076539</v>
      </c>
      <c r="Y66" s="170">
        <v>45654.963988682604</v>
      </c>
      <c r="Z66" s="211">
        <f>COUNTIFS($A$7:$A$64,"1",Z7:Z64,"Yes")</f>
        <v>15</v>
      </c>
      <c r="AA66" s="211">
        <f>COUNTIFS($A$7:$A$64,"1",AA7:AA64,"Yes")</f>
        <v>7</v>
      </c>
      <c r="AB66" s="207">
        <f t="shared" ref="AB66" si="203">Y66/Y$65</f>
        <v>0.78262229894963387</v>
      </c>
      <c r="AC66" s="211" t="e">
        <f>#REF!</f>
        <v>#REF!</v>
      </c>
      <c r="AD66" s="211">
        <f>COUNTIFS($A$7:$A$64,"1",AD7:AD64,"Yes")</f>
        <v>0</v>
      </c>
      <c r="AE66" s="211">
        <f>COUNTIFS($A$7:$A$64,"1",AE7:AE64,"Yes")</f>
        <v>0</v>
      </c>
      <c r="AF66" s="207" t="e">
        <f t="shared" ref="AF66" si="204">AC66/AC$65</f>
        <v>#REF!</v>
      </c>
      <c r="AG66" s="211" t="e">
        <f t="shared" si="140"/>
        <v>#REF!</v>
      </c>
      <c r="AH66" s="207" t="e">
        <f t="shared" si="141"/>
        <v>#REF!</v>
      </c>
      <c r="AI66" s="207"/>
      <c r="AJ66" s="191">
        <v>62831.31551909932</v>
      </c>
      <c r="AK66" s="191">
        <f>SUM('Average RAS salary'!B5:B62)/SUM('Average RAS salary'!C5:C62)</f>
        <v>66561.759574076539</v>
      </c>
      <c r="AL66" s="191">
        <f>AK66-AJ66</f>
        <v>3730.4440549772189</v>
      </c>
      <c r="AM66" s="207">
        <f t="shared" si="56"/>
        <v>5.9372369083108674E-2</v>
      </c>
      <c r="AN66" s="191" t="e">
        <f>AN65/R65</f>
        <v>#REF!</v>
      </c>
      <c r="AO66" s="207"/>
      <c r="AP66" s="191" t="e">
        <f>AP65/R65</f>
        <v>#REF!</v>
      </c>
      <c r="AQ66" s="191">
        <f>COUNT(AQ7:AQ64)</f>
        <v>0</v>
      </c>
      <c r="AR66" s="191">
        <f>COUNT(AR7:AR64)</f>
        <v>0</v>
      </c>
      <c r="AS66" s="207"/>
      <c r="AT66" s="217" t="e">
        <f>(AP65-AN65)/R65</f>
        <v>#REF!</v>
      </c>
      <c r="AU66" s="207" t="e">
        <f>AT66/AN66</f>
        <v>#REF!</v>
      </c>
      <c r="AV66" s="207"/>
      <c r="AW66" s="191">
        <f>SUM('Average RAS salary'!B5:B62)/SUM('Average RAS salary'!C5:C62)</f>
        <v>66561.759574076539</v>
      </c>
      <c r="AX66" s="191" t="e">
        <f>AX65/R65</f>
        <v>#REF!</v>
      </c>
      <c r="AY66" s="207"/>
      <c r="AZ66" s="191" t="e">
        <f>AZ65/R65</f>
        <v>#REF!</v>
      </c>
      <c r="BA66" s="191">
        <f>COUNT(BA7:BA64)</f>
        <v>0</v>
      </c>
      <c r="BB66" s="191">
        <f>COUNT(BB7:BB64)</f>
        <v>0</v>
      </c>
      <c r="BC66" s="207"/>
      <c r="BD66" s="217" t="e">
        <f>(AZ65-AX65)/R65</f>
        <v>#REF!</v>
      </c>
      <c r="BE66" s="207" t="e">
        <f>BD66/AX66</f>
        <v>#REF!</v>
      </c>
      <c r="BF66" s="207"/>
      <c r="BG66" s="191"/>
      <c r="BH66" s="191" t="e">
        <f>BH65/$R65</f>
        <v>#REF!</v>
      </c>
      <c r="BI66" s="207"/>
      <c r="BJ66" s="191" t="e">
        <f>BJ65/$R65</f>
        <v>#REF!</v>
      </c>
      <c r="BK66" s="191">
        <f>COUNT(BK7:BK64)</f>
        <v>0</v>
      </c>
      <c r="BL66" s="191">
        <f>COUNT(BL7:BL64)</f>
        <v>0</v>
      </c>
      <c r="BM66" s="207"/>
      <c r="BN66" s="217" t="e">
        <f>(BJ65-BH65)/R65</f>
        <v>#REF!</v>
      </c>
      <c r="BO66" s="207" t="e">
        <f>BN66/BH66</f>
        <v>#REF!</v>
      </c>
      <c r="BP66" s="207"/>
      <c r="BQ66" s="191"/>
      <c r="BR66" s="191" t="e">
        <f>BR65/R65</f>
        <v>#REF!</v>
      </c>
      <c r="BS66" s="207"/>
      <c r="BT66" s="191" t="e">
        <f>BT65/R65</f>
        <v>#REF!</v>
      </c>
      <c r="BU66" s="191">
        <f>COUNT(BU7:BU64)</f>
        <v>0</v>
      </c>
      <c r="BV66" s="191">
        <f>COUNT(BV7:BV64)</f>
        <v>0</v>
      </c>
      <c r="BW66" s="207"/>
      <c r="BX66" s="217" t="e">
        <f>(BT65-BR65)/R65</f>
        <v>#REF!</v>
      </c>
      <c r="BY66" s="207" t="e">
        <f>BX66/BR66</f>
        <v>#REF!</v>
      </c>
      <c r="BZ66" s="207"/>
      <c r="CA66" s="191"/>
      <c r="CB66" s="191" t="e">
        <f>CB65/$R65</f>
        <v>#REF!</v>
      </c>
      <c r="CC66" s="207"/>
      <c r="CD66" s="191" t="e">
        <f>CD65/$R65</f>
        <v>#REF!</v>
      </c>
      <c r="CE66" s="191">
        <f>COUNT(CE7:CE64)</f>
        <v>0</v>
      </c>
      <c r="CF66" s="191">
        <f>COUNT(CF7:CF64)</f>
        <v>0</v>
      </c>
      <c r="CG66" s="207"/>
      <c r="CH66" s="217" t="e">
        <f>(CD65-CB65)/$R65</f>
        <v>#REF!</v>
      </c>
      <c r="CI66" s="207" t="e">
        <f>CH66/CB66</f>
        <v>#REF!</v>
      </c>
      <c r="CJ66" s="207"/>
      <c r="CK66" s="191"/>
      <c r="CL66" s="191" t="e">
        <f>CL65/$R65</f>
        <v>#REF!</v>
      </c>
      <c r="CM66" s="207"/>
      <c r="CN66" s="191" t="e">
        <f>CN65/$R65</f>
        <v>#REF!</v>
      </c>
      <c r="CO66" s="191">
        <f>COUNT(CO7:CO64)</f>
        <v>0</v>
      </c>
      <c r="CP66" s="191">
        <f>COUNT(CP7:CP64)</f>
        <v>0</v>
      </c>
      <c r="CQ66" s="207"/>
      <c r="CR66" s="217" t="e">
        <f>(CN65-CL65)/$R65</f>
        <v>#REF!</v>
      </c>
      <c r="CS66" s="207" t="e">
        <f>CR66/CL66</f>
        <v>#REF!</v>
      </c>
      <c r="CT66" s="1"/>
      <c r="CU66" s="171"/>
      <c r="CV66" s="171"/>
      <c r="CW66" s="171"/>
      <c r="CX66" s="171"/>
      <c r="CY66" s="171"/>
      <c r="CZ66" s="171"/>
      <c r="DA66" s="171"/>
      <c r="DB66" s="171"/>
      <c r="DC66" s="171"/>
      <c r="DD66" s="171"/>
      <c r="DE66" s="171"/>
      <c r="DF66" s="171"/>
      <c r="DO66" s="171"/>
      <c r="DP66" s="171"/>
      <c r="DQ66" s="177">
        <f>DQ65-GB65-GJ65-GS65</f>
        <v>22082212.401290063</v>
      </c>
      <c r="DR66" s="171"/>
      <c r="DS66" s="171"/>
      <c r="DT66" s="171"/>
      <c r="DU66" s="183"/>
      <c r="DV66" s="171"/>
      <c r="DW66" s="171"/>
      <c r="DX66" s="171"/>
      <c r="DY66" s="177"/>
      <c r="DZ66" s="171"/>
      <c r="EA66" s="171"/>
      <c r="EB66" s="177"/>
      <c r="EC66" s="177"/>
      <c r="ED66" s="171"/>
      <c r="EE66" s="171"/>
      <c r="EF66" s="177"/>
      <c r="EG66" s="177"/>
      <c r="EH66" s="171"/>
      <c r="EI66" s="171"/>
      <c r="EJ66" s="177"/>
      <c r="EK66" s="177"/>
      <c r="EL66" s="171"/>
      <c r="EM66" s="177"/>
      <c r="EN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GA66" s="171"/>
      <c r="GB66" s="171"/>
      <c r="GC66" s="171"/>
      <c r="GD66" s="171"/>
      <c r="GE66" s="171"/>
      <c r="GF66" s="177" t="e">
        <f>GF65-#REF!</f>
        <v>#REF!</v>
      </c>
      <c r="GG66" s="171"/>
      <c r="GI66" s="171"/>
      <c r="GJ66" s="171"/>
      <c r="GK66" s="171"/>
      <c r="GL66" s="171"/>
      <c r="GM66" s="171"/>
      <c r="GN66" s="171"/>
      <c r="GO66" s="177" t="e">
        <f>GO65-#REF!</f>
        <v>#REF!</v>
      </c>
      <c r="GP66" s="171"/>
      <c r="GR66" s="171"/>
      <c r="GS66" s="171"/>
      <c r="GT66" s="171"/>
      <c r="GU66" s="171"/>
      <c r="GV66" s="177" t="e">
        <f>GV65-#REF!</f>
        <v>#REF!</v>
      </c>
      <c r="GW66" s="171"/>
      <c r="GY66" s="177"/>
      <c r="GZ66" s="171"/>
      <c r="HA66" s="177" t="e">
        <f>HA65+#REF!</f>
        <v>#REF!</v>
      </c>
    </row>
    <row r="67" spans="1:209" x14ac:dyDescent="0.45">
      <c r="B67" s="195"/>
      <c r="C67" s="195"/>
      <c r="D67" s="195"/>
      <c r="F67" s="195"/>
      <c r="G67" s="195"/>
      <c r="H67" s="195"/>
      <c r="I67" s="453" t="s">
        <v>257</v>
      </c>
      <c r="J67" s="453"/>
      <c r="K67" s="453"/>
      <c r="L67" s="453"/>
      <c r="M67" s="453"/>
      <c r="N67" s="453"/>
      <c r="Q67" s="195"/>
      <c r="R67" s="453" t="s">
        <v>261</v>
      </c>
      <c r="S67" s="453"/>
      <c r="T67" s="453"/>
      <c r="U67" s="453"/>
      <c r="V67" s="453"/>
      <c r="X67" s="195"/>
      <c r="AB67" s="195"/>
      <c r="AC67" s="208"/>
      <c r="AD67" s="195"/>
      <c r="AE67" s="453" t="s">
        <v>318</v>
      </c>
      <c r="AF67" s="453"/>
      <c r="AG67" s="453"/>
      <c r="AH67" s="453"/>
      <c r="AI67" s="453"/>
      <c r="AJ67" s="195"/>
      <c r="AK67" s="195"/>
      <c r="AL67" s="195"/>
      <c r="AM67" s="195"/>
      <c r="AO67" s="453" t="s">
        <v>291</v>
      </c>
      <c r="AP67" s="453"/>
      <c r="AQ67" s="453"/>
      <c r="AR67" s="453"/>
      <c r="AS67" s="453"/>
      <c r="AT67" s="197"/>
      <c r="AU67" s="197"/>
      <c r="AV67" s="197"/>
      <c r="AW67" s="195"/>
      <c r="AY67" s="453" t="s">
        <v>291</v>
      </c>
      <c r="AZ67" s="453"/>
      <c r="BA67" s="453"/>
      <c r="BB67" s="453"/>
      <c r="BC67" s="453"/>
      <c r="BD67" s="197"/>
      <c r="BE67" s="197"/>
      <c r="BF67" s="202"/>
      <c r="BG67" s="195"/>
      <c r="BI67" s="453" t="s">
        <v>291</v>
      </c>
      <c r="BJ67" s="453"/>
      <c r="BK67" s="453"/>
      <c r="BL67" s="453"/>
      <c r="BM67" s="453"/>
      <c r="BN67" s="202"/>
      <c r="BO67" s="202"/>
      <c r="BP67" s="197"/>
      <c r="BQ67" s="195"/>
      <c r="BS67" s="453" t="s">
        <v>291</v>
      </c>
      <c r="BT67" s="453"/>
      <c r="BU67" s="453"/>
      <c r="BV67" s="453"/>
      <c r="BW67" s="453"/>
      <c r="BX67" s="197"/>
      <c r="BY67" s="197"/>
      <c r="BZ67" s="219"/>
      <c r="CA67" s="195"/>
      <c r="CC67" s="453" t="s">
        <v>291</v>
      </c>
      <c r="CD67" s="453"/>
      <c r="CE67" s="453"/>
      <c r="CF67" s="453"/>
      <c r="CG67" s="453"/>
      <c r="CH67" s="219"/>
      <c r="CI67" s="219"/>
      <c r="CJ67" s="224"/>
      <c r="CK67" s="195"/>
      <c r="CM67" s="453" t="s">
        <v>291</v>
      </c>
      <c r="CN67" s="453"/>
      <c r="CO67" s="453"/>
      <c r="CP67" s="453"/>
      <c r="CQ67" s="453"/>
      <c r="CR67" s="224"/>
      <c r="CS67" s="224"/>
      <c r="DA67" s="195"/>
      <c r="DB67" s="453" t="s">
        <v>307</v>
      </c>
      <c r="DC67" s="453"/>
      <c r="DD67" s="453"/>
      <c r="DE67" s="453"/>
      <c r="DF67" s="453"/>
      <c r="DJ67" s="195"/>
      <c r="DK67" s="195"/>
      <c r="DL67" s="453"/>
      <c r="DM67" s="453"/>
      <c r="EP67" s="277"/>
      <c r="EQ67" s="277"/>
      <c r="ER67" s="277"/>
      <c r="ES67" s="278"/>
      <c r="ET67" s="277"/>
      <c r="EU67" s="277"/>
      <c r="EV67" s="277"/>
      <c r="EW67" s="278"/>
      <c r="EX67" s="277"/>
      <c r="EY67" s="277"/>
      <c r="EZ67" s="277"/>
      <c r="FA67" s="278"/>
      <c r="FB67" s="277"/>
      <c r="FC67" s="277"/>
      <c r="FD67" s="277"/>
      <c r="FE67" s="278"/>
      <c r="FF67" s="277"/>
      <c r="FG67" s="277"/>
      <c r="FH67" s="277"/>
      <c r="FI67" s="278"/>
      <c r="FJ67" s="277"/>
      <c r="FK67" s="277"/>
      <c r="FL67" s="277"/>
      <c r="FM67" s="278"/>
      <c r="FN67" s="277"/>
      <c r="FO67" s="277"/>
      <c r="FP67" s="277"/>
      <c r="FQ67" s="278"/>
      <c r="FR67" s="277"/>
      <c r="FS67" s="277"/>
      <c r="FT67" s="277"/>
      <c r="FU67" s="278"/>
      <c r="FV67" s="277"/>
      <c r="FW67" s="277"/>
      <c r="FX67" s="277"/>
      <c r="FY67" s="278"/>
      <c r="GA67" s="277"/>
      <c r="GB67" s="277"/>
      <c r="GC67" s="277"/>
      <c r="GD67" s="277"/>
      <c r="GE67" s="277"/>
      <c r="GF67" s="277"/>
      <c r="GG67" s="278"/>
      <c r="GI67" s="277"/>
      <c r="GJ67" s="277"/>
      <c r="GK67" s="277"/>
      <c r="GL67" s="277"/>
      <c r="GM67" s="277"/>
      <c r="GN67" s="277"/>
      <c r="GO67" s="277"/>
      <c r="GP67" s="278"/>
      <c r="GQ67" s="279"/>
      <c r="GR67" s="277"/>
      <c r="GS67" s="277"/>
      <c r="GT67" s="277"/>
      <c r="GU67" s="277"/>
      <c r="GV67" s="277"/>
      <c r="GW67" s="278"/>
    </row>
    <row r="68" spans="1:209" x14ac:dyDescent="0.45">
      <c r="B68" s="195"/>
      <c r="C68" s="195"/>
      <c r="D68" s="195"/>
      <c r="F68" s="195"/>
      <c r="G68" s="195"/>
      <c r="I68" s="195"/>
      <c r="J68" s="186" t="s">
        <v>71</v>
      </c>
      <c r="K68" s="186" t="s">
        <v>242</v>
      </c>
      <c r="L68" s="186" t="s">
        <v>243</v>
      </c>
      <c r="M68" s="186" t="s">
        <v>244</v>
      </c>
      <c r="N68" s="186" t="s">
        <v>62</v>
      </c>
      <c r="Q68" s="195"/>
      <c r="R68" s="186" t="s">
        <v>71</v>
      </c>
      <c r="S68" s="186" t="s">
        <v>242</v>
      </c>
      <c r="T68" s="186" t="s">
        <v>243</v>
      </c>
      <c r="U68" s="186" t="s">
        <v>244</v>
      </c>
      <c r="V68" s="186" t="s">
        <v>62</v>
      </c>
      <c r="X68" s="195"/>
      <c r="AB68" s="195"/>
      <c r="AC68" s="196"/>
      <c r="AD68" s="195"/>
      <c r="AE68" s="186" t="s">
        <v>71</v>
      </c>
      <c r="AF68" s="186" t="s">
        <v>242</v>
      </c>
      <c r="AG68" s="186" t="s">
        <v>243</v>
      </c>
      <c r="AH68" s="186" t="s">
        <v>244</v>
      </c>
      <c r="AI68" s="186" t="s">
        <v>62</v>
      </c>
      <c r="AJ68" s="195"/>
      <c r="AK68" s="195"/>
      <c r="AL68" s="195"/>
      <c r="AM68" s="195"/>
      <c r="AN68" s="171"/>
      <c r="AO68" s="186" t="s">
        <v>71</v>
      </c>
      <c r="AP68" s="186" t="s">
        <v>242</v>
      </c>
      <c r="AQ68" s="186" t="s">
        <v>243</v>
      </c>
      <c r="AR68" s="186" t="s">
        <v>244</v>
      </c>
      <c r="AS68" s="186" t="s">
        <v>62</v>
      </c>
      <c r="AT68" s="186"/>
      <c r="AU68" s="186"/>
      <c r="AV68" s="186"/>
      <c r="AW68" s="195"/>
      <c r="AX68" s="171"/>
      <c r="AY68" s="186" t="s">
        <v>71</v>
      </c>
      <c r="AZ68" s="186" t="s">
        <v>242</v>
      </c>
      <c r="BA68" s="186" t="s">
        <v>243</v>
      </c>
      <c r="BB68" s="186" t="s">
        <v>244</v>
      </c>
      <c r="BC68" s="186" t="s">
        <v>62</v>
      </c>
      <c r="BD68" s="186"/>
      <c r="BE68" s="186"/>
      <c r="BF68" s="186"/>
      <c r="BG68" s="195"/>
      <c r="BH68" s="171"/>
      <c r="BI68" s="186" t="s">
        <v>71</v>
      </c>
      <c r="BJ68" s="186" t="s">
        <v>242</v>
      </c>
      <c r="BK68" s="186" t="s">
        <v>243</v>
      </c>
      <c r="BL68" s="186" t="s">
        <v>244</v>
      </c>
      <c r="BM68" s="186" t="s">
        <v>62</v>
      </c>
      <c r="BN68" s="186"/>
      <c r="BO68" s="186"/>
      <c r="BP68" s="186"/>
      <c r="BQ68" s="195"/>
      <c r="BR68" s="171"/>
      <c r="BS68" s="186" t="s">
        <v>71</v>
      </c>
      <c r="BT68" s="186" t="s">
        <v>242</v>
      </c>
      <c r="BU68" s="186" t="s">
        <v>243</v>
      </c>
      <c r="BV68" s="186" t="s">
        <v>244</v>
      </c>
      <c r="BW68" s="186" t="s">
        <v>62</v>
      </c>
      <c r="BX68" s="186"/>
      <c r="BY68" s="186"/>
      <c r="BZ68" s="186"/>
      <c r="CA68" s="195"/>
      <c r="CB68" s="171"/>
      <c r="CC68" s="186" t="s">
        <v>71</v>
      </c>
      <c r="CD68" s="186" t="s">
        <v>242</v>
      </c>
      <c r="CE68" s="186" t="s">
        <v>243</v>
      </c>
      <c r="CF68" s="186" t="s">
        <v>244</v>
      </c>
      <c r="CG68" s="186" t="s">
        <v>62</v>
      </c>
      <c r="CH68" s="186"/>
      <c r="CI68" s="186"/>
      <c r="CJ68" s="186"/>
      <c r="CK68" s="195"/>
      <c r="CL68" s="171"/>
      <c r="CM68" s="186" t="s">
        <v>71</v>
      </c>
      <c r="CN68" s="186" t="s">
        <v>242</v>
      </c>
      <c r="CO68" s="186" t="s">
        <v>243</v>
      </c>
      <c r="CP68" s="186" t="s">
        <v>244</v>
      </c>
      <c r="CQ68" s="186" t="s">
        <v>62</v>
      </c>
      <c r="CR68" s="186"/>
      <c r="CS68" s="186"/>
      <c r="DA68" s="195"/>
      <c r="DB68" s="186" t="s">
        <v>71</v>
      </c>
      <c r="DC68" s="186" t="s">
        <v>242</v>
      </c>
      <c r="DD68" s="186" t="s">
        <v>243</v>
      </c>
      <c r="DE68" s="186" t="s">
        <v>244</v>
      </c>
      <c r="DF68" s="186" t="s">
        <v>62</v>
      </c>
      <c r="DJ68" s="195"/>
      <c r="DK68" s="186"/>
      <c r="DL68" s="186"/>
      <c r="DM68" s="186"/>
    </row>
    <row r="69" spans="1:209" x14ac:dyDescent="0.45">
      <c r="B69" s="194"/>
      <c r="C69" s="175"/>
      <c r="D69" s="194"/>
      <c r="F69" s="175"/>
      <c r="G69" s="194"/>
      <c r="I69" s="194" t="s">
        <v>262</v>
      </c>
      <c r="J69" s="184" t="str">
        <f>TEXT(COUNTIFS($A$7:$A$64,"1",$N$7:$N$64,"&lt;-5%")/J$85,"#0%")&amp;" ("&amp;TEXT(COUNTIFS($A$7:$A$64,"1",$N$7:$N$64,"&lt;-5%"),"#0")&amp;")"</f>
        <v>0% (0)</v>
      </c>
      <c r="K69" s="184" t="str">
        <f>TEXT(COUNTIFS($A$7:$A$64,"2",$N$7:$N$64,"&lt;-5%")/K$85,"#0%")&amp;" ("&amp;TEXT(COUNTIFS($A$7:$A$64,"2",$N$7:$N$64,"&lt;-5%"),"#0")&amp;")"</f>
        <v>0% (0)</v>
      </c>
      <c r="L69" s="184" t="str">
        <f>TEXT(COUNTIFS($A$7:$A$64,"3",$N$7:$N$64,"&lt;-5%")/L$85,"#0%")&amp;" ("&amp;TEXT(COUNTIFS($A$7:$A$64,"3",$N$7:$N$64,"&lt;-5%"),"#0")&amp;")"</f>
        <v>0% (0)</v>
      </c>
      <c r="M69" s="184" t="str">
        <f>TEXT(COUNTIFS($A$7:$A$64,"4",$N$7:$N$64,"&lt;-5%")/M$85,"#0%")&amp;" ("&amp;TEXT(COUNTIFS($A$7:$A$64,"4",$N$7:$N$64,"&lt;-5%"),"#0")&amp;")"</f>
        <v>0% (0)</v>
      </c>
      <c r="N69" s="185" t="str">
        <f>TEXT(COUNTIF($N$7:$N$64,"&lt;-5%")/N$85,"#0%")&amp;" ("&amp;TEXT(COUNTIF($N$7:$N$64,"&lt;-5%"),"#0")&amp;")"</f>
        <v>0% (0)</v>
      </c>
      <c r="Q69" s="194" t="s">
        <v>262</v>
      </c>
      <c r="R69" s="184" t="str">
        <f>TEXT(COUNTIFS($A$7:$A$64,"1",$V$7:$V$64,"&lt;-5%")/R$85,"#0%")&amp;" ("&amp;TEXT(COUNTIFS($A$7:$A$64,"1",$V$7:$V$64,"&lt;-5%"),"#0")&amp;")"</f>
        <v>0% (0)</v>
      </c>
      <c r="S69" s="184" t="str">
        <f>TEXT(COUNTIFS($A$7:$A$64,"2",$V$7:$V$64,"&lt;-5%")/S$85,"#0%")&amp;" ("&amp;TEXT(COUNTIFS($A$7:$A$64,"2",$V$7:$V$64,"&lt;-5%"),"#0")&amp;")"</f>
        <v>0% (0)</v>
      </c>
      <c r="T69" s="184" t="str">
        <f>TEXT(COUNTIFS($A$7:$A$64,"3",$V$7:$V$64,"&lt;-5%")/T$85,"#0%")&amp;" ("&amp;TEXT(COUNTIFS($A$7:$A$64,"3",$V$7:$V$64,"&lt;-5%"),"#0")&amp;")"</f>
        <v>0% (0)</v>
      </c>
      <c r="U69" s="184" t="str">
        <f>TEXT(COUNTIFS($A$7:$A$64,"4",$V$7:$V$64,"&lt;-5%")/U$85,"#0%")&amp;" ("&amp;TEXT(COUNTIFS($A$7:$A$64,"4",$V$7:$V$64,"&lt;-5%"),"#0")&amp;")"</f>
        <v>0% (0)</v>
      </c>
      <c r="V69" s="185" t="str">
        <f>TEXT(COUNTIF($V$7:$V$64,"&lt;-5%")/V$85,"#0%")&amp;" ("&amp;TEXT(COUNTIF($V$7:$V$64,"&lt;-5%"),"#0")&amp;")"</f>
        <v>0% (0)</v>
      </c>
      <c r="X69" s="194"/>
      <c r="AB69" s="194"/>
      <c r="AC69" s="175"/>
      <c r="AD69" s="194" t="s">
        <v>320</v>
      </c>
      <c r="AE69" s="184" t="str">
        <f>TEXT(COUNTIFS($A$7:$A$64,"1",$AI$7:$AI$64,"&lt;-5%")/AE$72,"#0%")&amp;" ("&amp;TEXT(COUNTIFS($A$7:$A$64,"1",$AI$7:$AI$64,"&lt;-5%"),"#0")&amp;")"</f>
        <v>0% (0)</v>
      </c>
      <c r="AF69" s="184" t="str">
        <f>TEXT(COUNTIFS($A$7:$A$64,"2",$AI$7:$AI$64,"&lt;-5%")/AF$72,"#0%")&amp;" ("&amp;TEXT(COUNTIFS($A$7:$A$64,"2",$AI$7:$AI$64,"&lt;-5%"),"#0")&amp;")"</f>
        <v>0% (0)</v>
      </c>
      <c r="AG69" s="184" t="str">
        <f>TEXT(COUNTIFS($A$7:$A$64,"3",$AI$7:$AI$64,"&lt;-5%")/AG$72,"#0%")&amp;" ("&amp;TEXT(COUNTIFS($A$7:$A$64,"3",$AI$7:$AI$64,"&lt;-5%"),"#0")&amp;")"</f>
        <v>0% (0)</v>
      </c>
      <c r="AH69" s="184" t="str">
        <f>TEXT(COUNTIFS($A$7:$A$64,"4",$AI$7:$AI$64,"&lt;-5%")/AH$72,"#0%")&amp;" ("&amp;TEXT(COUNTIFS($A$7:$A$64,"4",$AI$7:$AI$64,"&lt;-5%"),"#0")&amp;")"</f>
        <v>0% (0)</v>
      </c>
      <c r="AI69" s="185" t="str">
        <f>TEXT(COUNTIF($AI$7:$AI$64,"&lt;-5%")/AI$72,"#0%")&amp;" ("&amp;TEXT(COUNTIF($AI$7:$AI$64,"&lt;-5%"),"#0")&amp;")"</f>
        <v>0% (0)</v>
      </c>
      <c r="AJ69" s="194"/>
      <c r="AK69" s="194"/>
      <c r="AL69" s="194"/>
      <c r="AM69" s="194"/>
      <c r="AN69" s="194" t="s">
        <v>289</v>
      </c>
      <c r="AO69" s="184" t="str">
        <f>TEXT(COUNTIFS($A$7:$A$64,"1",$AR$7:$AR$64,"&lt;0")/AO$71,"#0%")&amp;" ("&amp;TEXT(COUNTIFS($A$7:$A$64,"1",$AR$7:$AR$64,"&lt;0"),"#0")&amp;")"</f>
        <v>0% (0)</v>
      </c>
      <c r="AP69" s="184" t="str">
        <f>TEXT(COUNTIFS($A$7:$A$64,"2",$AR$7:$AR$64,"&lt;0")/AP$71,"#0%")&amp;" ("&amp;TEXT(COUNTIFS($A$7:$A$64,"2",$AR$7:$AR$64,"&lt;0"),"#0")&amp;")"</f>
        <v>0% (0)</v>
      </c>
      <c r="AQ69" s="184" t="str">
        <f>TEXT(COUNTIFS($A$7:$A$64,"3",$AR$7:$AR$64,"&lt;0")/AQ$71,"#0%")&amp;" ("&amp;TEXT(COUNTIFS($A$7:$A$64,"3",$AR$7:$AR$64,"&lt;0"),"#0")&amp;")"</f>
        <v>0% (0)</v>
      </c>
      <c r="AR69" s="184" t="str">
        <f>TEXT(COUNTIFS($A$7:$A$64,"4",$AR$7:$AR$64,"&lt;0")/AR$71,"#0%")&amp;" ("&amp;TEXT(COUNTIFS($A$7:$A$64,"4",$AR$7:$AR$64,"&lt;0"),"#0")&amp;")"</f>
        <v>0% (0)</v>
      </c>
      <c r="AS69" s="185" t="str">
        <f>TEXT(COUNTIF($AR$7:$AR$64,"&lt;0")/AS$71,"#0%")&amp;" ("&amp;TEXT(COUNTIF($AR$7:$AR$64,"&lt;0"),"#0")&amp;")"</f>
        <v>0% (0)</v>
      </c>
      <c r="AT69" s="185"/>
      <c r="AU69" s="185"/>
      <c r="AV69" s="185"/>
      <c r="AW69" s="194"/>
      <c r="AX69" s="194" t="s">
        <v>289</v>
      </c>
      <c r="AY69" s="184" t="str">
        <f>TEXT(COUNTIFS($A$7:$A$64,"1",$BB$7:$BB$64,"&lt;0")/AY$71,"#0%")&amp;" ("&amp;TEXT(COUNTIFS($A$7:$A$64,"1",$BB$7:$BB$64,"&lt;0"),"#0")&amp;")"</f>
        <v>0% (0)</v>
      </c>
      <c r="AZ69" s="184" t="str">
        <f>TEXT(COUNTIFS($A$7:$A$64,"2",$BB$7:$BB$64,"&lt;0")/AZ$71,"#0%")&amp;" ("&amp;TEXT(COUNTIFS($A$7:$A$64,"2",$BB$7:$BB$64,"&lt;0"),"#0")&amp;")"</f>
        <v>0% (0)</v>
      </c>
      <c r="BA69" s="184" t="str">
        <f>TEXT(COUNTIFS($A$7:$A$64,"3",$BB$7:$BB$64,"&lt;0")/BA$71,"#0%")&amp;" ("&amp;TEXT(COUNTIFS($A$7:$A$64,"3",$BB$7:$BB$64,"&lt;0"),"#0")&amp;")"</f>
        <v>0% (0)</v>
      </c>
      <c r="BB69" s="184" t="str">
        <f>TEXT(COUNTIFS($A$7:$A$64,"4",$BB$7:$BB$64,"&lt;0")/BB$71,"#0%")&amp;" ("&amp;TEXT(COUNTIFS($A$7:$A$64,"4",$BB$7:$BB$64,"&lt;0"),"#0")&amp;")"</f>
        <v>0% (0)</v>
      </c>
      <c r="BC69" s="185" t="str">
        <f>TEXT(COUNTIF($BB$7:$BB$64,"&lt;0")/BC$71,"#0%")&amp;" ("&amp;TEXT(COUNTIF($BB$7:$BB$64,"&lt;0"),"#0")&amp;")"</f>
        <v>0% (0)</v>
      </c>
      <c r="BD69" s="185"/>
      <c r="BE69" s="185"/>
      <c r="BF69" s="185"/>
      <c r="BG69" s="194"/>
      <c r="BH69" s="194" t="s">
        <v>289</v>
      </c>
      <c r="BI69" s="184" t="str">
        <f>TEXT(COUNTIFS($A$7:$A$64,"1",$BL$7:$BL$64,"&lt;0")/BI$71,"#0%")&amp;" ("&amp;TEXT(COUNTIFS($A$7:$A$64,"1",$BL$7:$BL$64,"&lt;0"),"#0")&amp;")"</f>
        <v>0% (0)</v>
      </c>
      <c r="BJ69" s="184" t="str">
        <f>TEXT(COUNTIFS($A$7:$A$64,"2",$BL$7:$BL$64,"&lt;0")/BJ$71,"#0%")&amp;" ("&amp;TEXT(COUNTIFS($A$7:$A$64,"2",$BL$7:$BL$64,"&lt;0"),"#0")&amp;")"</f>
        <v>0% (0)</v>
      </c>
      <c r="BK69" s="184" t="str">
        <f>TEXT(COUNTIFS($A$7:$A$64,"3",$BL$7:$BL$64,"&lt;0")/BK$71,"#0%")&amp;" ("&amp;TEXT(COUNTIFS($A$7:$A$64,"3",$BL$7:$BL$64,"&lt;0"),"#0")&amp;")"</f>
        <v>0% (0)</v>
      </c>
      <c r="BL69" s="184" t="str">
        <f>TEXT(COUNTIFS($A$7:$A$64,"4",$BL$7:$BL$64,"&lt;0")/BL$71,"#0%")&amp;" ("&amp;TEXT(COUNTIFS($A$7:$A$64,"4",$BL$7:$BL$64,"&lt;0"),"#0")&amp;")"</f>
        <v>0% (0)</v>
      </c>
      <c r="BM69" s="185" t="str">
        <f>TEXT(COUNTIF($BL$7:$BL$64,"&lt;0")/BM$71,"#0%")&amp;" ("&amp;TEXT(COUNTIF($BL$7:$BL$64,"&lt;0"),"#0")&amp;")"</f>
        <v>0% (0)</v>
      </c>
      <c r="BN69" s="185"/>
      <c r="BO69" s="185"/>
      <c r="BP69" s="185"/>
      <c r="BQ69" s="194"/>
      <c r="BR69" s="194" t="s">
        <v>289</v>
      </c>
      <c r="BS69" s="184" t="str">
        <f>TEXT(COUNTIFS($A$7:$A$64,"1",$BV$7:$BV$64,"&lt;0")/BS$71,"#0%")&amp;" ("&amp;TEXT(COUNTIFS($A$7:$A$64,"1",$BV$7:$BV$64,"&lt;0"),"#0")&amp;")"</f>
        <v>0% (0)</v>
      </c>
      <c r="BT69" s="184" t="str">
        <f>TEXT(COUNTIFS($A$7:$A$64,"2",$BV$7:$BV$64,"&lt;0")/BT$71,"#0%")&amp;" ("&amp;TEXT(COUNTIFS($A$7:$A$64,"2",$BV$7:$BV$64,"&lt;0"),"#0")&amp;")"</f>
        <v>0% (0)</v>
      </c>
      <c r="BU69" s="184" t="str">
        <f>TEXT(COUNTIFS($A$7:$A$64,"3",$BV$7:$BV$64,"&lt;0")/BU$71,"#0%")&amp;" ("&amp;TEXT(COUNTIFS($A$7:$A$64,"3",$BV$7:$BV$64,"&lt;0"),"#0")&amp;")"</f>
        <v>0% (0)</v>
      </c>
      <c r="BV69" s="184" t="str">
        <f>TEXT(COUNTIFS($A$7:$A$64,"4",$BV$7:$BV$64,"&lt;0")/BV$71,"#0%")&amp;" ("&amp;TEXT(COUNTIFS($A$7:$A$64,"4",$BV$7:$BV$64,"&lt;0"),"#0")&amp;")"</f>
        <v>0% (0)</v>
      </c>
      <c r="BW69" s="185" t="str">
        <f>TEXT(COUNTIF($BV$7:$BV$64,"&lt;0")/BW$71,"#0%")&amp;" ("&amp;TEXT(COUNTIF($BV$7:$BV$64,"&lt;0"),"#0")&amp;")"</f>
        <v>0% (0)</v>
      </c>
      <c r="BX69" s="185"/>
      <c r="BY69" s="185"/>
      <c r="BZ69" s="185"/>
      <c r="CA69" s="194"/>
      <c r="CB69" s="194" t="s">
        <v>289</v>
      </c>
      <c r="CC69" s="184" t="str">
        <f>TEXT(COUNTIFS($A$7:$A$64,"1",$CF$7:$CF$64,"&lt;0")/CC$71,"#0%")&amp;" ("&amp;TEXT(COUNTIFS($A$7:$A$64,"1",$CF$7:$CF$64,"&lt;0"),"#0")&amp;")"</f>
        <v>0% (0)</v>
      </c>
      <c r="CD69" s="184" t="str">
        <f>TEXT(COUNTIFS($A$7:$A$64,"2",$CF$7:$CF$64,"&lt;0")/CD$71,"#0%")&amp;" ("&amp;TEXT(COUNTIFS($A$7:$A$64,"2",$CF$7:$CF$64,"&lt;0"),"#0")&amp;")"</f>
        <v>0% (0)</v>
      </c>
      <c r="CE69" s="184" t="str">
        <f>TEXT(COUNTIFS($A$7:$A$64,"3",$CF$7:$CF$64,"&lt;0")/CE$71,"#0%")&amp;" ("&amp;TEXT(COUNTIFS($A$7:$A$64,"3",$CF$7:$CF$64,"&lt;0"),"#0")&amp;")"</f>
        <v>0% (0)</v>
      </c>
      <c r="CF69" s="184" t="str">
        <f>TEXT(COUNTIFS($A$7:$A$64,"4",$CF$7:$CF$64,"&lt;0")/CF$71,"#0%")&amp;" ("&amp;TEXT(COUNTIFS($A$7:$A$64,"4",$CF$7:$CF$64,"&lt;0"),"#0")&amp;")"</f>
        <v>0% (0)</v>
      </c>
      <c r="CG69" s="185" t="str">
        <f>TEXT(COUNTIF($CF$7:$CF$64,"&lt;0")/CG$71,"#0%")&amp;" ("&amp;TEXT(COUNTIF($CF$7:$CF$64,"&lt;0"),"#0")&amp;")"</f>
        <v>0% (0)</v>
      </c>
      <c r="CH69" s="185"/>
      <c r="CI69" s="185"/>
      <c r="CJ69" s="185"/>
      <c r="CK69" s="194"/>
      <c r="CL69" s="194" t="s">
        <v>289</v>
      </c>
      <c r="CM69" s="184" t="str">
        <f>TEXT(COUNTIFS($A$7:$A$64,"1",$CP$7:$CP$64,"&lt;0")/CM$71,"#0%")&amp;" ("&amp;TEXT(COUNTIFS($A$7:$A$64,"1",$CP$7:$CP$64,"&lt;0"),"#0")&amp;")"</f>
        <v>0% (0)</v>
      </c>
      <c r="CN69" s="184" t="str">
        <f>TEXT(COUNTIFS($A$7:$A$64,"2",$CP$7:$CP$64,"&lt;0")/CN$71,"#0%")&amp;" ("&amp;TEXT(COUNTIFS($A$7:$A$64,"2",$CP$7:$CP$64,"&lt;0"),"#0")&amp;")"</f>
        <v>0% (0)</v>
      </c>
      <c r="CO69" s="184" t="str">
        <f>TEXT(COUNTIFS($A$7:$A$64,"3",$CP$7:$CP$64,"&lt;0")/CO$71,"#0%")&amp;" ("&amp;TEXT(COUNTIFS($A$7:$A$64,"3",$CP$7:$CP$64,"&lt;0"),"#0")&amp;")"</f>
        <v>0% (0)</v>
      </c>
      <c r="CP69" s="184" t="str">
        <f>TEXT(COUNTIFS($A$7:$A$64,"4",$CP$7:$CP$64,"&lt;0")/CP$71,"#0%")&amp;" ("&amp;TEXT(COUNTIFS($A$7:$A$64,"4",$CP$7:$CP$64,"&lt;0"),"#0")&amp;")"</f>
        <v>0% (0)</v>
      </c>
      <c r="CQ69" s="185" t="str">
        <f>TEXT(COUNTIF($CP$7:$CP$64,"&lt;0")/CQ$71,"#0%")&amp;" ("&amp;TEXT(COUNTIF($CP$7:$CP$64,"&lt;0"),"#0")&amp;")"</f>
        <v>0% (0)</v>
      </c>
      <c r="CR69" s="185"/>
      <c r="CS69" s="185"/>
      <c r="DA69" s="194" t="s">
        <v>309</v>
      </c>
      <c r="DB69" s="184" t="str">
        <f>TEXT(COUNTIFS($A$7:$A$64,"1",$DC$7:$DC$64,"&lt;-10%")/DB$72,"#0%")&amp;" ("&amp;TEXT(COUNTIFS($A$7:$A$64,"1",$DC$7:$DC$64,"&lt;-10%"),"#0")&amp;")"</f>
        <v>0% (0)</v>
      </c>
      <c r="DC69" s="184" t="str">
        <f>TEXT(COUNTIFS($A$7:$A$64,"2",$DC$7:$DC$64,"&lt;-10%")/DC$72,"#0%")&amp;" ("&amp;TEXT(COUNTIFS($A$7:$A$64,"2",$DC$7:$DC$64,"&lt;-10%"),"#0")&amp;")"</f>
        <v>0% (0)</v>
      </c>
      <c r="DD69" s="184" t="str">
        <f>TEXT(COUNTIFS($A$7:$A$64,"3",$DC$7:$DC$64,"&lt;-10%")/DD$72,"#0%")&amp;" ("&amp;TEXT(COUNTIFS($A$7:$A$64,"3",$DC$7:$DC$64,"&lt;-10%"),"#0")&amp;")"</f>
        <v>0% (0)</v>
      </c>
      <c r="DE69" s="184" t="str">
        <f>TEXT(COUNTIFS($A$7:$A$64,"4",$DC$7:$DC$64,"&lt;-10%")/DE$72,"#0%")&amp;" ("&amp;TEXT(COUNTIFS($A$7:$A$64,"4",$DC$7:$DC$64,"&lt;-10%"),"#0")&amp;")"</f>
        <v>0% (0)</v>
      </c>
      <c r="DF69" s="185" t="str">
        <f>TEXT(COUNTIF($DC$7:$DC$64,"&lt;-10%")/DF$72,"#0%")&amp;" ("&amp;TEXT(COUNTIF($DC$7:$DC$64,"&lt;-10%"),"#0")&amp;")"</f>
        <v>0% (0)</v>
      </c>
      <c r="DJ69" s="194"/>
      <c r="DK69" s="184"/>
      <c r="DL69" s="184"/>
      <c r="DM69" s="184"/>
    </row>
    <row r="70" spans="1:209" x14ac:dyDescent="0.45">
      <c r="B70" s="194"/>
      <c r="C70" s="175"/>
      <c r="D70" s="194"/>
      <c r="F70" s="175"/>
      <c r="G70" s="194"/>
      <c r="I70" s="194" t="s">
        <v>265</v>
      </c>
      <c r="J70" s="184" t="str">
        <f>TEXT(COUNTIFS($A$7:$A$64,"1",$N$7:$N$64,"&gt;=-5%",$N$7:$N$64,"&lt;=5%")/J$85,"#0%")&amp;" ("&amp;TEXT(COUNTIFS($A$7:$A$64,"1",$N$7:$N$64,"&gt;=-5%",$N$7:$N$64,"&lt;=5%"),"#0")&amp;")"</f>
        <v>0% (0)</v>
      </c>
      <c r="K70" s="184" t="str">
        <f>TEXT(COUNTIFS($A$7:$A$64,"2",$N$7:$N$64,"&gt;=-5%",$N$7:$N$64,"&lt;=5%")/K$85,"#0%")&amp;" ("&amp;TEXT(COUNTIFS($A$7:$A$64,"2",$N$7:$N$64,"&gt;=-5%",$N$7:$N$64,"&lt;=5%"),"#0")&amp;")"</f>
        <v>0% (0)</v>
      </c>
      <c r="L70" s="184" t="str">
        <f>TEXT(COUNTIFS($A$7:$A$64,"3",$N$7:$N$64,"&gt;=-5%",$N$7:$N$64,"&lt;=5%")/L$85,"#0%")&amp;" ("&amp;TEXT(COUNTIFS($A$7:$A$64,"3",$N$7:$N$64,"&gt;=-5%",$N$7:$N$64,"&lt;=5%"),"#0")&amp;")"</f>
        <v>0% (0)</v>
      </c>
      <c r="M70" s="184" t="str">
        <f>TEXT(COUNTIFS($A$7:$A$64,"4",$N$7:$N$64,"&gt;=-5%",$N$7:$N$64,"&lt;=5%")/M$85,"#0%")&amp;" ("&amp;TEXT(COUNTIFS($A$7:$A$64,"4",$N$7:$N$64,"&gt;=-5%",$N$7:$N$64,"&lt;=5%"),"#0")&amp;")"</f>
        <v>0% (0)</v>
      </c>
      <c r="N70" s="185" t="str">
        <f>TEXT(COUNTIFS($N$7:$N$64,"&gt;=-5%",$N$7:$N$64,"&lt;=5%")/N$85,"#0%")&amp;" ("&amp;TEXT(COUNTIFS($N$7:$N$64,"&gt;=-5%",$N$7:$N$64,"&lt;=5%"),"#0")&amp;")"</f>
        <v>0% (0)</v>
      </c>
      <c r="Q70" s="194" t="s">
        <v>265</v>
      </c>
      <c r="R70" s="184" t="str">
        <f>TEXT(COUNTIFS($A$7:$A$64,"1",$V$7:$V$64,"&gt;=-5%",$V$7:$V$64,"&lt;=5%")/R$85,"#0%")&amp;" ("&amp;TEXT(COUNTIFS($A$7:$A$64,"1",$V$7:$V$64,"&gt;=-5%",$V$7:$V$64,"&lt;=5%"),"#0")&amp;")"</f>
        <v>0% (0)</v>
      </c>
      <c r="S70" s="184" t="str">
        <f>TEXT(COUNTIFS($A$7:$A$64,"2",$V$7:$V$64,"&gt;=-5%",$V$7:$V$64,"&lt;=5%")/S$85,"#0%")&amp;" ("&amp;TEXT(COUNTIFS($A$7:$A$64,"2",$V$7:$V$64,"&gt;=-5%",$V$7:$V$64,"&lt;=5%"),"#0")&amp;")"</f>
        <v>0% (0)</v>
      </c>
      <c r="T70" s="184" t="str">
        <f>TEXT(COUNTIFS($A$7:$A$64,"3",$V$7:$V$64,"&gt;=-5%",$V$7:$V$64,"&lt;=5%")/T$85,"#0%")&amp;" ("&amp;TEXT(COUNTIFS($A$7:$A$64,"3",$V$7:$V$64,"&gt;=-5%",$V$7:$V$64,"&lt;=5%"),"#0")&amp;")"</f>
        <v>0% (0)</v>
      </c>
      <c r="U70" s="184" t="str">
        <f>TEXT(COUNTIFS($A$7:$A$64,"4",$V$7:$V$64,"&gt;=-5%",$V$7:$V$64,"&lt;=5%")/U$85,"#0%")&amp;" ("&amp;TEXT(COUNTIFS($A$7:$A$64,"4",$V$7:$V$64,"&gt;=-5%",$V$7:$V$64,"&lt;=5%"),"#0")&amp;")"</f>
        <v>0% (0)</v>
      </c>
      <c r="V70" s="185" t="str">
        <f>TEXT(COUNTIFS($V$7:$V$64,"&gt;=-5%",$V$7:$V$64,"&lt;=5%")/V$85,"#0%")&amp;" ("&amp;TEXT(COUNTIFS($V$7:$V$64,"&gt;=-5%",$V$7:$V$64,"&lt;=5%"),"#0")&amp;")"</f>
        <v>0% (0)</v>
      </c>
      <c r="X70" s="194"/>
      <c r="AB70" s="194"/>
      <c r="AC70" s="175"/>
      <c r="AD70" s="194" t="s">
        <v>319</v>
      </c>
      <c r="AE70" s="184" t="str">
        <f>TEXT(COUNTIFS($A$7:$A$64,"1",$AI$7:$AI$64,"&gt;=-5%",$AI$7:$AI$64,"&lt;=5%")/AE$72,"#0%")&amp;" ("&amp;TEXT(COUNTIFS($A$7:$A$64,"1",$AI$7:$AI$64,"&gt;=-5%",$AI$7:$AI$64,"&lt;=5%"),"#0")&amp;")"</f>
        <v>0% (0)</v>
      </c>
      <c r="AF70" s="184" t="str">
        <f>TEXT(COUNTIFS($A$7:$A$64,"2",$AI$7:$AI$64,"&gt;=-5%",$AI$7:$AI$64,"&lt;=5%")/AF$72,"#0%")&amp;" ("&amp;TEXT(COUNTIFS($A$7:$A$64,"2",$AI$7:$AI$64,"&gt;=-5%",$AI$7:$AI$64,"&lt;=5%"),"#0")&amp;")"</f>
        <v>0% (0)</v>
      </c>
      <c r="AG70" s="184" t="str">
        <f>TEXT(COUNTIFS($A$7:$A$64,"3",$AI$7:$AI$64,"&gt;=-5%",$AI$7:$AI$64,"&lt;=5%")/AG$72,"#0%")&amp;" ("&amp;TEXT(COUNTIFS($A$7:$A$64,"3",$AI$7:$AI$64,"&gt;=-5%",$AI$7:$AI$64,"&lt;=5%"),"#0")&amp;")"</f>
        <v>0% (0)</v>
      </c>
      <c r="AH70" s="184" t="str">
        <f>TEXT(COUNTIFS($A$7:$A$64,"4",$AI$7:$AI$64,"&gt;=-5%",$AI$7:$AI$64,"&lt;=5%")/AH$72,"#0%")&amp;" ("&amp;TEXT(COUNTIFS($A$7:$A$64,"4",$AI$7:$AI$64,"&gt;=-5%",$AI$7:$AI$64,"&lt;=5%"),"#0")&amp;")"</f>
        <v>0% (0)</v>
      </c>
      <c r="AI70" s="185" t="str">
        <f>TEXT(COUNTIFS($AI$7:$AI$64,"&gt;=-5%",$AI$7:$AI$64,"&lt;=5%")/AI$72,"#0%")&amp;" ("&amp;TEXT(COUNTIFS($AI$7:$AI$64,"&gt;=-5%",$AI$7:$AI$64,"&lt;=5%"),"#0")&amp;")"</f>
        <v>0% (0)</v>
      </c>
      <c r="AJ70" s="194"/>
      <c r="AK70" s="194"/>
      <c r="AL70" s="194"/>
      <c r="AM70" s="194"/>
      <c r="AN70" s="194" t="s">
        <v>290</v>
      </c>
      <c r="AO70" s="184" t="str">
        <f>TEXT(COUNTIFS($A$7:$A$64,"1",$AQ$7:$AQ$64,"&gt;0")/AO$71,"#0%")&amp;" ("&amp;TEXT(COUNTIFS($A$7:$A$64,"1",$AQ$7:$AQ$64,"&gt;0"),"#0")&amp;")"</f>
        <v>0% (0)</v>
      </c>
      <c r="AP70" s="184" t="str">
        <f>TEXT(COUNTIFS($A$7:$A$64,"2",$AQ$7:$AQ$64,"&gt;0")/AP$71,"#0%")&amp;" ("&amp;TEXT(COUNTIFS($A$7:$A$64,"2",$AQ$7:$AQ$64,"&gt;0"),"#0")&amp;")"</f>
        <v>0% (0)</v>
      </c>
      <c r="AQ70" s="184" t="str">
        <f>TEXT(COUNTIFS($A$7:$A$64,"3",$AQ$7:$AQ$64,"&gt;0")/AQ$71,"#0%")&amp;" ("&amp;TEXT(COUNTIFS($A$7:$A$64,"3",$AQ$7:$AQ$64,"&gt;0"),"#0")&amp;")"</f>
        <v>0% (0)</v>
      </c>
      <c r="AR70" s="184" t="str">
        <f>TEXT(COUNTIFS($A$7:$A$64,"4",$AQ$7:$AQ$64,"&gt;0")/AR$71,"#0%")&amp;" ("&amp;TEXT(COUNTIFS($A$7:$A$64,"4",$AQ$7:$AQ$64,"&gt;0"),"#0")&amp;")"</f>
        <v>0% (0)</v>
      </c>
      <c r="AS70" s="185" t="str">
        <f>TEXT(COUNTIF($AQ$7:$AQ$64,"&gt;0")/AS$71,"#0%")&amp;" ("&amp;TEXT(COUNTIF($AQ$7:$AQ$64,"&gt;0"),"#0")&amp;")"</f>
        <v>0% (0)</v>
      </c>
      <c r="AT70" s="185"/>
      <c r="AU70" s="185"/>
      <c r="AV70" s="185"/>
      <c r="AW70" s="194"/>
      <c r="AX70" s="194" t="s">
        <v>290</v>
      </c>
      <c r="AY70" s="184" t="str">
        <f>TEXT(COUNTIFS($A$7:$A$64,"1",$BA$7:$BA$64,"&gt;0")/AY$71,"#0%")&amp;" ("&amp;TEXT(COUNTIFS($A$7:$A$64,"1",$BA$7:$BA$64,"&gt;0"),"#0")&amp;")"</f>
        <v>0% (0)</v>
      </c>
      <c r="AZ70" s="184" t="str">
        <f>TEXT(COUNTIFS($A$7:$A$64,"2",$BA$7:$BA$64,"&gt;0")/AZ$71,"#0%")&amp;" ("&amp;TEXT(COUNTIFS($A$7:$A$64,"2",$BA$7:$BA$64,"&gt;0"),"#0")&amp;")"</f>
        <v>0% (0)</v>
      </c>
      <c r="BA70" s="184" t="str">
        <f>TEXT(COUNTIFS($A$7:$A$64,"3",$BA$7:$BA$64,"&gt;0")/BA$71,"#0%")&amp;" ("&amp;TEXT(COUNTIFS($A$7:$A$64,"3",$BA$7:$BA$64,"&gt;0"),"#0")&amp;")"</f>
        <v>0% (0)</v>
      </c>
      <c r="BB70" s="184" t="str">
        <f>TEXT(COUNTIFS($A$7:$A$64,"4",$BA$7:$BA$64,"&gt;0")/BB$71,"#0%")&amp;" ("&amp;TEXT(COUNTIFS($A$7:$A$64,"4",$BA$7:$BA$64,"&gt;0"),"#0")&amp;")"</f>
        <v>0% (0)</v>
      </c>
      <c r="BC70" s="185" t="str">
        <f>TEXT(COUNTIF($BA$7:$BA$64,"&gt;0")/BC$71,"#0%")&amp;" ("&amp;TEXT(COUNTIF($BA$7:$BA$64,"&gt;0"),"#0")&amp;")"</f>
        <v>0% (0)</v>
      </c>
      <c r="BD70" s="185"/>
      <c r="BE70" s="185"/>
      <c r="BF70" s="185"/>
      <c r="BG70" s="194"/>
      <c r="BH70" s="194" t="s">
        <v>290</v>
      </c>
      <c r="BI70" s="184" t="str">
        <f>TEXT(COUNTIFS($A$7:$A$64,"1",$BK$7:$BK$64,"&gt;0")/BI$71,"#0%")&amp;" ("&amp;TEXT(COUNTIFS($A$7:$A$64,"1",$BK$7:$BK$64,"&gt;0"),"#0")&amp;")"</f>
        <v>0% (0)</v>
      </c>
      <c r="BJ70" s="184" t="str">
        <f>TEXT(COUNTIFS($A$7:$A$64,"2",$BK$7:$BK$64,"&gt;0")/BJ$71,"#0%")&amp;" ("&amp;TEXT(COUNTIFS($A$7:$A$64,"2",$BK$7:$BK$64,"&gt;0"),"#0")&amp;")"</f>
        <v>0% (0)</v>
      </c>
      <c r="BK70" s="184" t="str">
        <f>TEXT(COUNTIFS($A$7:$A$64,"3",$BK$7:$BK$64,"&gt;0")/BK$71,"#0%")&amp;" ("&amp;TEXT(COUNTIFS($A$7:$A$64,"3",$BK$7:$BK$64,"&gt;0"),"#0")&amp;")"</f>
        <v>0% (0)</v>
      </c>
      <c r="BL70" s="184" t="str">
        <f>TEXT(COUNTIFS($A$7:$A$64,"4",$BK$7:$BK$64,"&gt;0")/BL$71,"#0%")&amp;" ("&amp;TEXT(COUNTIFS($A$7:$A$64,"4",$BK$7:$BK$64,"&gt;0"),"#0")&amp;")"</f>
        <v>0% (0)</v>
      </c>
      <c r="BM70" s="185" t="str">
        <f>TEXT(COUNTIF($BK$7:$BK$64,"&gt;0")/BM$71,"#0%")&amp;" ("&amp;TEXT(COUNTIF($BK$7:$BK$64,"&gt;0"),"#0")&amp;")"</f>
        <v>0% (0)</v>
      </c>
      <c r="BN70" s="185"/>
      <c r="BO70" s="185"/>
      <c r="BP70" s="185"/>
      <c r="BQ70" s="194"/>
      <c r="BR70" s="194" t="s">
        <v>290</v>
      </c>
      <c r="BS70" s="184" t="str">
        <f>TEXT(COUNTIFS($A$7:$A$64,"1",$BU$7:$BU$64,"&gt;0")/BS$71,"#0%")&amp;" ("&amp;TEXT(COUNTIFS($A$7:$A$64,"1",$BU$7:$BU$64,"&gt;0"),"#0")&amp;")"</f>
        <v>0% (0)</v>
      </c>
      <c r="BT70" s="184" t="str">
        <f>TEXT(COUNTIFS($A$7:$A$64,"2",$BU$7:$BU$64,"&gt;0")/BT$71,"#0%")&amp;" ("&amp;TEXT(COUNTIFS($A$7:$A$64,"2",$BU$7:$BU$64,"&gt;0"),"#0")&amp;")"</f>
        <v>0% (0)</v>
      </c>
      <c r="BU70" s="184" t="str">
        <f>TEXT(COUNTIFS($A$7:$A$64,"3",$BU$7:$BU$64,"&gt;0")/BU$71,"#0%")&amp;" ("&amp;TEXT(COUNTIFS($A$7:$A$64,"3",$BU$7:$BU$64,"&gt;0"),"#0")&amp;")"</f>
        <v>0% (0)</v>
      </c>
      <c r="BV70" s="184" t="str">
        <f>TEXT(COUNTIFS($A$7:$A$64,"4",$BU$7:$BU$64,"&gt;0")/BV$71,"#0%")&amp;" ("&amp;TEXT(COUNTIFS($A$7:$A$64,"4",$BU$7:$BU$64,"&gt;0"),"#0")&amp;")"</f>
        <v>0% (0)</v>
      </c>
      <c r="BW70" s="185" t="str">
        <f>TEXT(COUNTIF($BU$7:$BU$64,"&gt;0")/BW$71,"#0%")&amp;" ("&amp;TEXT(COUNTIF($BU$7:$BU$64,"&gt;0"),"#0")&amp;")"</f>
        <v>0% (0)</v>
      </c>
      <c r="BX70" s="185"/>
      <c r="BY70" s="185"/>
      <c r="BZ70" s="185"/>
      <c r="CA70" s="194"/>
      <c r="CB70" s="194" t="s">
        <v>290</v>
      </c>
      <c r="CC70" s="184" t="str">
        <f>TEXT(COUNTIFS($A$7:$A$64,"1",$CE$7:$CE$64,"&gt;0")/CC$71,"#0%")&amp;" ("&amp;TEXT(COUNTIFS($A$7:$A$64,"1",$CE$7:$CE$64,"&gt;0"),"#0")&amp;")"</f>
        <v>0% (0)</v>
      </c>
      <c r="CD70" s="184" t="str">
        <f>TEXT(COUNTIFS($A$7:$A$64,"2",$CE$7:$CE$64,"&gt;0")/CD$71,"#0%")&amp;" ("&amp;TEXT(COUNTIFS($A$7:$A$64,"2",$CE$7:$CE$64,"&gt;0"),"#0")&amp;")"</f>
        <v>0% (0)</v>
      </c>
      <c r="CE70" s="184" t="str">
        <f>TEXT(COUNTIFS($A$7:$A$64,"3",$CE$7:$CE$64,"&gt;0")/CE$71,"#0%")&amp;" ("&amp;TEXT(COUNTIFS($A$7:$A$64,"3",$CE$7:$CE$64,"&gt;0"),"#0")&amp;")"</f>
        <v>0% (0)</v>
      </c>
      <c r="CF70" s="184" t="str">
        <f>TEXT(COUNTIFS($A$7:$A$64,"4",$CE$7:$CE$64,"&gt;0")/CF$71,"#0%")&amp;" ("&amp;TEXT(COUNTIFS($A$7:$A$64,"4",$CE$7:$CE$64,"&gt;0"),"#0")&amp;")"</f>
        <v>0% (0)</v>
      </c>
      <c r="CG70" s="185" t="str">
        <f>TEXT(COUNTIF($CE$7:$CE$64,"&gt;0")/CG$71,"#0%")&amp;" ("&amp;TEXT(COUNTIF($CE$7:$CE$64,"&gt;0"),"#0")&amp;")"</f>
        <v>0% (0)</v>
      </c>
      <c r="CH70" s="185"/>
      <c r="CI70" s="185"/>
      <c r="CJ70" s="185"/>
      <c r="CK70" s="194"/>
      <c r="CL70" s="194" t="s">
        <v>290</v>
      </c>
      <c r="CM70" s="184" t="str">
        <f>TEXT(COUNTIFS($A$7:$A$64,"1",$CO$7:$CO$64,"&gt;0")/CM$71,"#0%")&amp;" ("&amp;TEXT(COUNTIFS($A$7:$A$64,"1",$CO$7:$CO$64,"&gt;0"),"#0")&amp;")"</f>
        <v>0% (0)</v>
      </c>
      <c r="CN70" s="184" t="str">
        <f>TEXT(COUNTIFS($A$7:$A$64,"2",$CO$7:$CO$64,"&gt;0")/CN$71,"#0%")&amp;" ("&amp;TEXT(COUNTIFS($A$7:$A$64,"2",$CO$7:$CO$64,"&gt;0"),"#0")&amp;")"</f>
        <v>0% (0)</v>
      </c>
      <c r="CO70" s="184" t="str">
        <f>TEXT(COUNTIFS($A$7:$A$64,"3",$CO$7:$CO$64,"&gt;0")/CO$71,"#0%")&amp;" ("&amp;TEXT(COUNTIFS($A$7:$A$64,"3",$CO$7:$CO$64,"&gt;0"),"#0")&amp;")"</f>
        <v>0% (0)</v>
      </c>
      <c r="CP70" s="184" t="str">
        <f>TEXT(COUNTIFS($A$7:$A$64,"4",$CO$7:$CO$64,"&gt;0")/CP$71,"#0%")&amp;" ("&amp;TEXT(COUNTIFS($A$7:$A$64,"4",$CO$7:$CO$64,"&gt;0"),"#0")&amp;")"</f>
        <v>0% (0)</v>
      </c>
      <c r="CQ70" s="185" t="str">
        <f>TEXT(COUNTIF($CO$7:$CO$64,"&gt;0")/CQ$71,"#0%")&amp;" ("&amp;TEXT(COUNTIF($CO$7:$CO$64,"&gt;0"),"#0")&amp;")"</f>
        <v>0% (0)</v>
      </c>
      <c r="CR70" s="185"/>
      <c r="CS70" s="185"/>
      <c r="DA70" s="194" t="s">
        <v>310</v>
      </c>
      <c r="DB70" s="184" t="str">
        <f>TEXT(COUNTIFS($A$7:$A$64,"1",$DC$7:$DC$64,"&gt;=-10%",$DC$7:$DC$64,"&lt;=10%")/DB$72,"#0%")&amp;" ("&amp;TEXT(COUNTIFS($A$7:$A$64,"1",$DC$7:$DC$64,"&gt;=-10%",$DC$7:$DC$64,"&lt;=10%"),"#0")&amp;")"</f>
        <v>0% (0)</v>
      </c>
      <c r="DC70" s="184" t="str">
        <f>TEXT(COUNTIFS($A$7:$A$64,"2",$DC$7:$DC$64,"&gt;=-10%",$DC$7:$DC$64,"&lt;=10%")/DC$72,"#0%")&amp;" ("&amp;TEXT(COUNTIFS($A$7:$A$64,"2",$DC$7:$DC$64,"&gt;=-10%",$DC$7:$DC$64,"&lt;=10%"),"#0")&amp;")"</f>
        <v>0% (0)</v>
      </c>
      <c r="DD70" s="184" t="str">
        <f>TEXT(COUNTIFS($A$7:$A$64,"3",$DC$7:$DC$64,"&gt;=-10%",$DC$7:$DC$64,"&lt;=10%")/DD$72,"#0%")&amp;" ("&amp;TEXT(COUNTIFS($A$7:$A$64,"3",$DC$7:$DC$64,"&gt;=-10%",$DC$7:$DC$64,"&lt;=10%"),"#0")&amp;")"</f>
        <v>0% (0)</v>
      </c>
      <c r="DE70" s="184" t="str">
        <f>TEXT(COUNTIFS($A$7:$A$64,"4",$DC$7:$DC$64,"&gt;=-10%",$DC$7:$DC$64,"&lt;=10%")/DE$72,"#0%")&amp;" ("&amp;TEXT(COUNTIFS($A$7:$A$64,"4",$DC$7:$DC$64,"&gt;=-10%",$DC$7:$DC$64,"&lt;=10%"),"#0")&amp;")"</f>
        <v>0% (0)</v>
      </c>
      <c r="DF70" s="185" t="str">
        <f>TEXT(COUNTIFS($DC$7:$DC$64,"&gt;=-10%",$DC$7:$DC$64,"&lt;=10%")/DF$72,"#0%")&amp;" ("&amp;TEXT(COUNTIFS($DC$7:$DC$64,"&gt;=-10%",$DC$7:$DC$64,"&lt;=10%"),"#0")&amp;")"</f>
        <v>0% (0)</v>
      </c>
      <c r="DJ70" s="194"/>
      <c r="DK70" s="184"/>
      <c r="DL70" s="184"/>
      <c r="DM70" s="184"/>
    </row>
    <row r="71" spans="1:209" x14ac:dyDescent="0.45">
      <c r="B71" s="194"/>
      <c r="C71" s="175"/>
      <c r="D71" s="194"/>
      <c r="F71" s="175"/>
      <c r="G71" s="194"/>
      <c r="I71" s="194" t="s">
        <v>263</v>
      </c>
      <c r="J71" s="184" t="str">
        <f>TEXT(COUNTIFS($A$7:$A$64,"1",$N$7:$N$64,"&gt;5%")/J$85,"#0%")&amp;" ("&amp;TEXT(COUNTIFS($A$7:$A$64,"1",$N$7:$N$64,"&gt;5%"),"#0")&amp;")"</f>
        <v>0% (0)</v>
      </c>
      <c r="K71" s="184" t="str">
        <f>TEXT(COUNTIFS($A$7:$A$64,"2",$N$7:$N$64,"&gt;5%")/K$85,"#0%")&amp;" ("&amp;TEXT(COUNTIFS($A$7:$A$64,"2",$N$7:$N$64,"&gt;5%"),"#0")&amp;")"</f>
        <v>0% (0)</v>
      </c>
      <c r="L71" s="184" t="str">
        <f>TEXT(COUNTIFS($A$7:$A$64,"3",$N$7:$N$64,"&gt;5%")/L$85,"#0%")&amp;" ("&amp;TEXT(COUNTIFS($A$7:$A$64,"3",$N$7:$N$64,"&gt;5%"),"#0")&amp;")"</f>
        <v>0% (0)</v>
      </c>
      <c r="M71" s="184" t="str">
        <f>TEXT(COUNTIFS($A$7:$A$64,"4",$N$7:$N$64,"&gt;5%")/M$85,"#0%")&amp;" ("&amp;TEXT(COUNTIFS($A$7:$A$64,"4",$N$7:$N$64,"&gt;5%"),"#0")&amp;")"</f>
        <v>0% (0)</v>
      </c>
      <c r="N71" s="185" t="str">
        <f>TEXT(COUNTIF($N$7:$N$64,"&gt;5%")/N$85,"#0%")&amp;" ("&amp;TEXT(COUNTIF($N$7:$N$64,"&gt;5%"),"#0")&amp;")"</f>
        <v>0% (0)</v>
      </c>
      <c r="Q71" s="194" t="s">
        <v>263</v>
      </c>
      <c r="R71" s="184" t="str">
        <f>TEXT(COUNTIFS($A$7:$A$64,"1",$V$7:$V$64,"&gt;5%")/R$85,"#0%")&amp;" ("&amp;TEXT(COUNTIFS($A$7:$A$64,"1",$V$7:$V$64,"&gt;5%"),"#0")&amp;")"</f>
        <v>0% (0)</v>
      </c>
      <c r="S71" s="184" t="str">
        <f>TEXT(COUNTIFS($A$7:$A$64,"2",$V$7:$V$64,"&gt;5%")/S$85,"#0%")&amp;" ("&amp;TEXT(COUNTIFS($A$7:$A$64,"2",$V$7:$V$64,"&gt;5%"),"#0")&amp;")"</f>
        <v>0% (0)</v>
      </c>
      <c r="T71" s="184" t="str">
        <f>TEXT(COUNTIFS($A$7:$A$64,"3",$V$7:$V$64,"&gt;5%")/T$85,"#0%")&amp;" ("&amp;TEXT(COUNTIFS($A$7:$A$64,"3",$V$7:$V$64,"&gt;5%"),"#0")&amp;")"</f>
        <v>0% (0)</v>
      </c>
      <c r="U71" s="184" t="str">
        <f>TEXT(COUNTIFS($A$7:$A$64,"4",$V$7:$V$64,"&gt;5%")/U$85,"#0%")&amp;" ("&amp;TEXT(COUNTIFS($A$7:$A$64,"4",$V$7:$V$64,"&gt;5%"),"#0")&amp;")"</f>
        <v>0% (0)</v>
      </c>
      <c r="V71" s="185" t="str">
        <f>TEXT(COUNTIF($V$7:$V$64,"&gt;5%")/V$85,"#0%")&amp;" ("&amp;TEXT(COUNTIF($V$7:$V$64,"&gt;5%"),"#0")&amp;")"</f>
        <v>0% (0)</v>
      </c>
      <c r="X71" s="194"/>
      <c r="AB71" s="194"/>
      <c r="AC71" s="175"/>
      <c r="AD71" s="194" t="s">
        <v>321</v>
      </c>
      <c r="AE71" s="184" t="str">
        <f>TEXT(COUNTIFS($A$7:$A$64,"1",$AI$7:$AI$64,"&gt;5%")/AE$72,"#0%")&amp;" ("&amp;TEXT(COUNTIFS($A$7:$A$64,"1",$AI$7:$AI$64,"&gt;5%"),"#0")&amp;")"</f>
        <v>0% (0)</v>
      </c>
      <c r="AF71" s="184" t="str">
        <f>TEXT(COUNTIFS($A$7:$A$64,"2",$AI$7:$AI$64,"&gt;5%")/AF$72,"#0%")&amp;" ("&amp;TEXT(COUNTIFS($A$7:$A$64,"2",$AI$7:$AI$64,"&gt;5%"),"#0")&amp;")"</f>
        <v>0% (0)</v>
      </c>
      <c r="AG71" s="184" t="str">
        <f>TEXT(COUNTIFS($A$7:$A$64,"3",$AI$7:$AI$64,"&gt;5%")/AG$72,"#0%")&amp;" ("&amp;TEXT(COUNTIFS($A$7:$A$64,"3",$AI$7:$AI$64,"&gt;5%"),"#0")&amp;")"</f>
        <v>0% (0)</v>
      </c>
      <c r="AH71" s="184" t="str">
        <f>TEXT(COUNTIFS($A$7:$A$64,"4",$AI$7:$AI$64,"&gt;5%")/AH$72,"#0%")&amp;" ("&amp;TEXT(COUNTIFS($A$7:$A$64,"4",$AI$7:$AI$64,"&gt;5%"),"#0")&amp;")"</f>
        <v>0% (0)</v>
      </c>
      <c r="AI71" s="185" t="str">
        <f>TEXT(COUNTIF($AI$7:$AI$64,"&gt;5%")/AI$72,"#0%")&amp;" ("&amp;TEXT(COUNTIF($AI$7:$AI$64,"&gt;5%"),"#0")&amp;")"</f>
        <v>0% (0)</v>
      </c>
      <c r="AJ71" s="194"/>
      <c r="AK71" s="194"/>
      <c r="AL71" s="194"/>
      <c r="AM71" s="194"/>
      <c r="AN71" s="194" t="s">
        <v>0</v>
      </c>
      <c r="AO71" s="187">
        <v>15</v>
      </c>
      <c r="AP71" s="187">
        <v>22</v>
      </c>
      <c r="AQ71" s="187">
        <v>12</v>
      </c>
      <c r="AR71" s="187">
        <v>9</v>
      </c>
      <c r="AS71" s="187">
        <v>58</v>
      </c>
      <c r="AT71" s="187"/>
      <c r="AU71" s="187"/>
      <c r="AV71" s="187"/>
      <c r="AW71" s="194"/>
      <c r="AX71" s="194" t="s">
        <v>0</v>
      </c>
      <c r="AY71" s="187">
        <v>15</v>
      </c>
      <c r="AZ71" s="187">
        <v>22</v>
      </c>
      <c r="BA71" s="187">
        <v>12</v>
      </c>
      <c r="BB71" s="187">
        <v>9</v>
      </c>
      <c r="BC71" s="187">
        <v>58</v>
      </c>
      <c r="BD71" s="187"/>
      <c r="BE71" s="187"/>
      <c r="BF71" s="187"/>
      <c r="BG71" s="194"/>
      <c r="BH71" s="194" t="s">
        <v>0</v>
      </c>
      <c r="BI71" s="187">
        <v>15</v>
      </c>
      <c r="BJ71" s="187">
        <v>22</v>
      </c>
      <c r="BK71" s="187">
        <v>12</v>
      </c>
      <c r="BL71" s="187">
        <v>9</v>
      </c>
      <c r="BM71" s="187">
        <v>58</v>
      </c>
      <c r="BN71" s="187"/>
      <c r="BO71" s="187"/>
      <c r="BP71" s="187"/>
      <c r="BQ71" s="194"/>
      <c r="BR71" s="194" t="s">
        <v>0</v>
      </c>
      <c r="BS71" s="187">
        <v>15</v>
      </c>
      <c r="BT71" s="187">
        <v>22</v>
      </c>
      <c r="BU71" s="187">
        <v>12</v>
      </c>
      <c r="BV71" s="187">
        <v>9</v>
      </c>
      <c r="BW71" s="187">
        <v>58</v>
      </c>
      <c r="BX71" s="187"/>
      <c r="BY71" s="187"/>
      <c r="BZ71" s="187"/>
      <c r="CA71" s="194"/>
      <c r="CB71" s="194" t="s">
        <v>0</v>
      </c>
      <c r="CC71" s="187">
        <v>15</v>
      </c>
      <c r="CD71" s="187">
        <v>22</v>
      </c>
      <c r="CE71" s="187">
        <v>12</v>
      </c>
      <c r="CF71" s="187">
        <v>9</v>
      </c>
      <c r="CG71" s="187">
        <v>58</v>
      </c>
      <c r="CH71" s="187"/>
      <c r="CI71" s="187"/>
      <c r="CJ71" s="187"/>
      <c r="CK71" s="194"/>
      <c r="CL71" s="194" t="s">
        <v>0</v>
      </c>
      <c r="CM71" s="187">
        <v>15</v>
      </c>
      <c r="CN71" s="187">
        <v>22</v>
      </c>
      <c r="CO71" s="187">
        <v>12</v>
      </c>
      <c r="CP71" s="187">
        <v>9</v>
      </c>
      <c r="CQ71" s="187">
        <v>58</v>
      </c>
      <c r="CR71" s="187"/>
      <c r="CS71" s="187"/>
      <c r="DA71" s="194" t="s">
        <v>311</v>
      </c>
      <c r="DB71" s="184" t="str">
        <f>TEXT(COUNTIFS($A$7:$A$64,"1",$DC$7:$DC$64,"&gt;10%")/DB$72,"#0%")&amp;" ("&amp;TEXT(COUNTIFS($A$7:$A$64,"1",$DC$7:$DC$64,"&gt;10%"),"#0")&amp;")"</f>
        <v>0% (0)</v>
      </c>
      <c r="DC71" s="184" t="str">
        <f>TEXT(COUNTIFS($A$7:$A$64,"2",$DC$7:$DC$64,"&gt;10%")/DC$72,"#0%")&amp;" ("&amp;TEXT(COUNTIFS($A$7:$A$64,"2",$DC$7:$DC$64,"&gt;10%"),"#0")&amp;")"</f>
        <v>0% (0)</v>
      </c>
      <c r="DD71" s="184" t="str">
        <f>TEXT(COUNTIFS($A$7:$A$64,"3",$DC$7:$DC$64,"&gt;10%")/DD$72,"#0%")&amp;" ("&amp;TEXT(COUNTIFS($A$7:$A$64,"3",$DC$7:$DC$64,"&gt;10%"),"#0")&amp;")"</f>
        <v>0% (0)</v>
      </c>
      <c r="DE71" s="184" t="str">
        <f>TEXT(COUNTIFS($A$7:$A$64,"4",$DC$7:$DC$64,"&gt;10%")/DE$72,"#0%")&amp;" ("&amp;TEXT(COUNTIFS($A$7:$A$64,"4",$DC$7:$DC$64,"&gt;10%"),"#0")&amp;")"</f>
        <v>0% (0)</v>
      </c>
      <c r="DF71" s="185" t="str">
        <f>TEXT(COUNTIF($DC$7:$DC$64,"&gt;10%")/DF$72,"#0%")&amp;" ("&amp;TEXT(COUNTIF($DC$7:$DC$64,"&gt;10%"),"#0")&amp;")"</f>
        <v>0% (0)</v>
      </c>
      <c r="DJ71" s="194"/>
      <c r="DK71" s="184"/>
      <c r="DL71" s="184"/>
      <c r="DM71" s="184"/>
    </row>
    <row r="72" spans="1:209" x14ac:dyDescent="0.45">
      <c r="B72" s="194"/>
      <c r="C72" s="187"/>
      <c r="D72" s="194"/>
      <c r="F72" s="187"/>
      <c r="G72" s="194"/>
      <c r="I72" s="194" t="s">
        <v>0</v>
      </c>
      <c r="J72" s="187">
        <v>15</v>
      </c>
      <c r="K72" s="187">
        <v>22</v>
      </c>
      <c r="L72" s="187">
        <v>12</v>
      </c>
      <c r="M72" s="187">
        <v>9</v>
      </c>
      <c r="N72" s="187">
        <v>58</v>
      </c>
      <c r="Q72" s="194" t="s">
        <v>0</v>
      </c>
      <c r="R72" s="187">
        <v>15</v>
      </c>
      <c r="S72" s="187">
        <v>22</v>
      </c>
      <c r="T72" s="187">
        <v>12</v>
      </c>
      <c r="U72" s="187">
        <v>9</v>
      </c>
      <c r="V72" s="187">
        <v>58</v>
      </c>
      <c r="X72" s="194"/>
      <c r="AB72" s="194"/>
      <c r="AC72" s="187"/>
      <c r="AD72" s="194" t="s">
        <v>0</v>
      </c>
      <c r="AE72" s="187">
        <v>15</v>
      </c>
      <c r="AF72" s="187">
        <v>22</v>
      </c>
      <c r="AG72" s="187">
        <v>12</v>
      </c>
      <c r="AH72" s="187">
        <v>9</v>
      </c>
      <c r="AI72" s="187">
        <v>58</v>
      </c>
      <c r="AJ72" s="194"/>
      <c r="AK72" s="194"/>
      <c r="AL72" s="194"/>
      <c r="AM72" s="194"/>
      <c r="AT72" s="197"/>
      <c r="AU72" s="197"/>
      <c r="AV72" s="197"/>
      <c r="AW72" s="194"/>
      <c r="BD72" s="197"/>
      <c r="BE72" s="197"/>
      <c r="BF72" s="202"/>
      <c r="BG72" s="194"/>
      <c r="BN72" s="202"/>
      <c r="BO72" s="202"/>
      <c r="BP72" s="197"/>
      <c r="BQ72" s="194"/>
      <c r="BX72" s="197"/>
      <c r="BY72" s="197"/>
      <c r="BZ72" s="219"/>
      <c r="CA72" s="194"/>
      <c r="CH72" s="219"/>
      <c r="CI72" s="219"/>
      <c r="CJ72" s="224"/>
      <c r="CK72" s="194"/>
      <c r="CR72" s="224"/>
      <c r="CS72" s="224"/>
      <c r="DA72" s="194" t="s">
        <v>0</v>
      </c>
      <c r="DB72" s="187">
        <v>15</v>
      </c>
      <c r="DC72" s="187">
        <v>22</v>
      </c>
      <c r="DD72" s="187">
        <v>12</v>
      </c>
      <c r="DE72" s="187">
        <v>9</v>
      </c>
      <c r="DF72" s="187">
        <v>58</v>
      </c>
      <c r="DJ72" s="194"/>
      <c r="DK72" s="187"/>
      <c r="DL72" s="187"/>
      <c r="DM72" s="187"/>
    </row>
    <row r="73" spans="1:209" ht="6" customHeight="1" x14ac:dyDescent="0.45">
      <c r="B73" s="194"/>
      <c r="C73" s="187"/>
      <c r="D73" s="194"/>
      <c r="F73" s="187"/>
      <c r="G73" s="194"/>
      <c r="H73" s="194"/>
      <c r="I73" s="187"/>
      <c r="J73" s="187"/>
      <c r="K73" s="187"/>
      <c r="L73" s="187"/>
      <c r="M73" s="187"/>
      <c r="N73" s="187"/>
      <c r="Q73" s="194"/>
      <c r="R73" s="187"/>
      <c r="S73" s="187"/>
      <c r="T73" s="187"/>
      <c r="U73" s="187"/>
      <c r="V73" s="187"/>
      <c r="X73" s="194"/>
      <c r="AB73" s="194"/>
      <c r="AC73" s="187"/>
      <c r="AD73" s="194"/>
      <c r="AE73" s="187"/>
      <c r="AF73" s="187"/>
      <c r="AG73" s="187"/>
      <c r="AH73" s="187"/>
      <c r="AI73" s="187"/>
      <c r="AJ73" s="194"/>
      <c r="AK73" s="194"/>
      <c r="AL73" s="194"/>
      <c r="AM73" s="194"/>
      <c r="AO73" s="197"/>
      <c r="AP73" s="197"/>
      <c r="AQ73" s="197"/>
      <c r="AR73" s="197"/>
      <c r="AS73" s="197"/>
      <c r="AT73" s="197"/>
      <c r="AU73" s="197"/>
      <c r="AV73" s="197"/>
      <c r="AW73" s="194"/>
      <c r="AY73" s="197"/>
      <c r="AZ73" s="197"/>
      <c r="BA73" s="197"/>
      <c r="BB73" s="197"/>
      <c r="BC73" s="197"/>
      <c r="BD73" s="197"/>
      <c r="BE73" s="197"/>
      <c r="BF73" s="202"/>
      <c r="BG73" s="194"/>
      <c r="BI73" s="202"/>
      <c r="BJ73" s="202"/>
      <c r="BK73" s="202"/>
      <c r="BL73" s="202"/>
      <c r="BM73" s="202"/>
      <c r="BN73" s="202"/>
      <c r="BO73" s="202"/>
      <c r="BP73" s="197"/>
      <c r="BQ73" s="194"/>
      <c r="BS73" s="197"/>
      <c r="BT73" s="197"/>
      <c r="BU73" s="197"/>
      <c r="BV73" s="197"/>
      <c r="BW73" s="197"/>
      <c r="BX73" s="197"/>
      <c r="BY73" s="197"/>
      <c r="BZ73" s="219"/>
      <c r="CA73" s="194"/>
      <c r="CC73" s="219"/>
      <c r="CD73" s="219"/>
      <c r="CE73" s="219"/>
      <c r="CF73" s="219"/>
      <c r="CG73" s="219"/>
      <c r="CH73" s="219"/>
      <c r="CI73" s="219"/>
      <c r="CJ73" s="224"/>
      <c r="CK73" s="194"/>
      <c r="CM73" s="224"/>
      <c r="CN73" s="224"/>
      <c r="CO73" s="224"/>
      <c r="CP73" s="224"/>
      <c r="CQ73" s="224"/>
      <c r="CR73" s="224"/>
      <c r="CS73" s="224"/>
      <c r="DA73" s="194"/>
      <c r="DB73" s="187"/>
      <c r="DC73" s="187"/>
      <c r="DD73" s="187"/>
      <c r="DE73" s="187"/>
      <c r="DF73" s="187"/>
      <c r="DJ73" s="194"/>
      <c r="DK73" s="187"/>
      <c r="DL73" s="187"/>
      <c r="DM73" s="187"/>
    </row>
    <row r="74" spans="1:209" ht="18" customHeight="1" x14ac:dyDescent="0.45">
      <c r="D74" s="195"/>
      <c r="G74" s="195"/>
      <c r="H74" s="195"/>
      <c r="I74" s="453" t="s">
        <v>277</v>
      </c>
      <c r="J74" s="453"/>
      <c r="K74" s="453"/>
      <c r="L74" s="453"/>
      <c r="M74" s="453"/>
      <c r="N74" s="453"/>
      <c r="Q74" s="195"/>
      <c r="R74" s="453" t="s">
        <v>278</v>
      </c>
      <c r="S74" s="453"/>
      <c r="T74" s="453"/>
      <c r="U74" s="453"/>
      <c r="V74" s="453"/>
      <c r="X74" s="175"/>
      <c r="AB74" s="175"/>
      <c r="AD74" s="195"/>
      <c r="AE74" s="453" t="s">
        <v>322</v>
      </c>
      <c r="AF74" s="453"/>
      <c r="AG74" s="453"/>
      <c r="AH74" s="453"/>
      <c r="AI74" s="453"/>
      <c r="AJ74" s="175"/>
      <c r="AK74" s="175"/>
      <c r="AL74" s="175"/>
      <c r="AM74" s="175"/>
      <c r="AO74" s="453" t="s">
        <v>296</v>
      </c>
      <c r="AP74" s="453"/>
      <c r="AQ74" s="453"/>
      <c r="AR74" s="453"/>
      <c r="AS74" s="453"/>
      <c r="AT74" s="186"/>
      <c r="AU74" s="186"/>
      <c r="AV74" s="186"/>
      <c r="AW74" s="175"/>
      <c r="AY74" s="453" t="s">
        <v>296</v>
      </c>
      <c r="AZ74" s="453"/>
      <c r="BA74" s="453"/>
      <c r="BB74" s="453"/>
      <c r="BC74" s="453"/>
      <c r="BD74" s="186"/>
      <c r="BE74" s="186"/>
      <c r="BF74" s="186"/>
      <c r="BG74" s="175"/>
      <c r="BI74" s="453" t="s">
        <v>296</v>
      </c>
      <c r="BJ74" s="453"/>
      <c r="BK74" s="453"/>
      <c r="BL74" s="453"/>
      <c r="BM74" s="453"/>
      <c r="BN74" s="186"/>
      <c r="BO74" s="186"/>
      <c r="BP74" s="186"/>
      <c r="BQ74" s="175"/>
      <c r="BS74" s="453" t="s">
        <v>296</v>
      </c>
      <c r="BT74" s="453"/>
      <c r="BU74" s="453"/>
      <c r="BV74" s="453"/>
      <c r="BW74" s="453"/>
      <c r="BX74" s="186"/>
      <c r="BY74" s="186"/>
      <c r="BZ74" s="186"/>
      <c r="CA74" s="175"/>
      <c r="CC74" s="453" t="s">
        <v>296</v>
      </c>
      <c r="CD74" s="453"/>
      <c r="CE74" s="453"/>
      <c r="CF74" s="453"/>
      <c r="CG74" s="453"/>
      <c r="CH74" s="186"/>
      <c r="CI74" s="186"/>
      <c r="CJ74" s="186"/>
      <c r="CK74" s="175"/>
      <c r="CM74" s="453" t="s">
        <v>296</v>
      </c>
      <c r="CN74" s="453"/>
      <c r="CO74" s="453"/>
      <c r="CP74" s="453"/>
      <c r="CQ74" s="453"/>
      <c r="CR74" s="186"/>
      <c r="CS74" s="186"/>
      <c r="DA74" s="195"/>
      <c r="DB74" s="453" t="s">
        <v>308</v>
      </c>
      <c r="DC74" s="453"/>
      <c r="DD74" s="453"/>
      <c r="DE74" s="453"/>
      <c r="DF74" s="453"/>
      <c r="DJ74" s="195"/>
      <c r="DK74" s="195"/>
      <c r="DL74" s="453"/>
      <c r="DM74" s="453"/>
    </row>
    <row r="75" spans="1:209" x14ac:dyDescent="0.45">
      <c r="D75" s="195"/>
      <c r="G75" s="195"/>
      <c r="I75" s="195"/>
      <c r="J75" s="186" t="s">
        <v>71</v>
      </c>
      <c r="K75" s="186" t="s">
        <v>242</v>
      </c>
      <c r="L75" s="186" t="s">
        <v>243</v>
      </c>
      <c r="M75" s="186" t="s">
        <v>244</v>
      </c>
      <c r="N75" s="186" t="s">
        <v>62</v>
      </c>
      <c r="Q75" s="195"/>
      <c r="R75" s="186" t="s">
        <v>71</v>
      </c>
      <c r="S75" s="186" t="s">
        <v>242</v>
      </c>
      <c r="T75" s="186" t="s">
        <v>243</v>
      </c>
      <c r="U75" s="186" t="s">
        <v>244</v>
      </c>
      <c r="V75" s="186" t="s">
        <v>62</v>
      </c>
      <c r="X75" s="175"/>
      <c r="AB75" s="175"/>
      <c r="AD75" s="195"/>
      <c r="AE75" s="186" t="s">
        <v>71</v>
      </c>
      <c r="AF75" s="186" t="s">
        <v>242</v>
      </c>
      <c r="AG75" s="186" t="s">
        <v>243</v>
      </c>
      <c r="AH75" s="186" t="s">
        <v>244</v>
      </c>
      <c r="AI75" s="186" t="s">
        <v>62</v>
      </c>
      <c r="AJ75" s="175"/>
      <c r="AK75" s="175"/>
      <c r="AL75" s="175"/>
      <c r="AM75" s="175"/>
      <c r="AN75" s="171"/>
      <c r="AO75" s="186" t="s">
        <v>71</v>
      </c>
      <c r="AP75" s="186" t="s">
        <v>242</v>
      </c>
      <c r="AQ75" s="186" t="s">
        <v>243</v>
      </c>
      <c r="AR75" s="186" t="s">
        <v>244</v>
      </c>
      <c r="AS75" s="186" t="s">
        <v>62</v>
      </c>
      <c r="AT75" s="205"/>
      <c r="AU75" s="205"/>
      <c r="AV75" s="205"/>
      <c r="AW75" s="175"/>
      <c r="AX75" s="171"/>
      <c r="AY75" s="186" t="s">
        <v>71</v>
      </c>
      <c r="AZ75" s="186" t="s">
        <v>242</v>
      </c>
      <c r="BA75" s="186" t="s">
        <v>243</v>
      </c>
      <c r="BB75" s="186" t="s">
        <v>244</v>
      </c>
      <c r="BC75" s="186" t="s">
        <v>62</v>
      </c>
      <c r="BD75" s="205"/>
      <c r="BE75" s="205"/>
      <c r="BF75" s="205"/>
      <c r="BG75" s="175"/>
      <c r="BH75" s="171"/>
      <c r="BI75" s="186" t="s">
        <v>71</v>
      </c>
      <c r="BJ75" s="186" t="s">
        <v>242</v>
      </c>
      <c r="BK75" s="186" t="s">
        <v>243</v>
      </c>
      <c r="BL75" s="186" t="s">
        <v>244</v>
      </c>
      <c r="BM75" s="186" t="s">
        <v>62</v>
      </c>
      <c r="BN75" s="205"/>
      <c r="BO75" s="205"/>
      <c r="BP75" s="205"/>
      <c r="BQ75" s="175"/>
      <c r="BR75" s="171"/>
      <c r="BS75" s="186" t="s">
        <v>71</v>
      </c>
      <c r="BT75" s="186" t="s">
        <v>242</v>
      </c>
      <c r="BU75" s="186" t="s">
        <v>243</v>
      </c>
      <c r="BV75" s="186" t="s">
        <v>244</v>
      </c>
      <c r="BW75" s="186" t="s">
        <v>62</v>
      </c>
      <c r="BX75" s="205"/>
      <c r="BY75" s="205"/>
      <c r="BZ75" s="205"/>
      <c r="CA75" s="175"/>
      <c r="CB75" s="171"/>
      <c r="CC75" s="186" t="s">
        <v>71</v>
      </c>
      <c r="CD75" s="186" t="s">
        <v>242</v>
      </c>
      <c r="CE75" s="186" t="s">
        <v>243</v>
      </c>
      <c r="CF75" s="186" t="s">
        <v>244</v>
      </c>
      <c r="CG75" s="186" t="s">
        <v>62</v>
      </c>
      <c r="CH75" s="205"/>
      <c r="CI75" s="205"/>
      <c r="CJ75" s="205"/>
      <c r="CK75" s="175"/>
      <c r="CL75" s="171"/>
      <c r="CM75" s="186" t="s">
        <v>71</v>
      </c>
      <c r="CN75" s="186" t="s">
        <v>242</v>
      </c>
      <c r="CO75" s="186" t="s">
        <v>243</v>
      </c>
      <c r="CP75" s="186" t="s">
        <v>244</v>
      </c>
      <c r="CQ75" s="186" t="s">
        <v>62</v>
      </c>
      <c r="CR75" s="205"/>
      <c r="CS75" s="205"/>
      <c r="DA75" s="195"/>
      <c r="DB75" s="186" t="s">
        <v>71</v>
      </c>
      <c r="DC75" s="186" t="s">
        <v>242</v>
      </c>
      <c r="DD75" s="186" t="s">
        <v>243</v>
      </c>
      <c r="DE75" s="186" t="s">
        <v>244</v>
      </c>
      <c r="DF75" s="186" t="s">
        <v>62</v>
      </c>
      <c r="DJ75" s="195"/>
      <c r="DK75" s="186"/>
      <c r="DL75" s="186"/>
      <c r="DM75" s="186"/>
    </row>
    <row r="76" spans="1:209" x14ac:dyDescent="0.45">
      <c r="D76" s="194"/>
      <c r="G76" s="194"/>
      <c r="I76" s="194" t="s">
        <v>275</v>
      </c>
      <c r="J76" s="178" t="e">
        <f>DMAX($A$4:$N$64,14,$A$106:$A$107)</f>
        <v>#REF!</v>
      </c>
      <c r="K76" s="178" t="e">
        <f>DMAX($A$4:$N$64,14,$A$108:$A$109)</f>
        <v>#REF!</v>
      </c>
      <c r="L76" s="178" t="e">
        <f>DMAX($A$4:$N$64,14,$A$110:$A$111)</f>
        <v>#REF!</v>
      </c>
      <c r="M76" s="178" t="e">
        <f>DMAX($A$4:$N$64,14,$A$112:$A$113)</f>
        <v>#REF!</v>
      </c>
      <c r="N76" s="201" t="e">
        <f>MAX($N$7:$N$64)</f>
        <v>#REF!</v>
      </c>
      <c r="Q76" s="194" t="s">
        <v>275</v>
      </c>
      <c r="R76" s="178" t="e">
        <f>DMAX($A$4:$V$64,22,$A$106:$A$107)</f>
        <v>#REF!</v>
      </c>
      <c r="S76" s="178" t="e">
        <f>DMAX($A$4:$V$64,22,$A$108:$A$109)</f>
        <v>#REF!</v>
      </c>
      <c r="T76" s="178" t="e">
        <f>DMAX($A$4:$V$64,22,$A$110:$A$111)</f>
        <v>#REF!</v>
      </c>
      <c r="U76" s="178" t="e">
        <f>DMAX($A$4:$V$64,22,$A$112:$A$113)</f>
        <v>#REF!</v>
      </c>
      <c r="V76" s="201" t="e">
        <f>MAX($V$7:$V$64)</f>
        <v>#REF!</v>
      </c>
      <c r="X76" s="175"/>
      <c r="AB76" s="175"/>
      <c r="AD76" s="194" t="s">
        <v>275</v>
      </c>
      <c r="AE76" s="178" t="e">
        <f>DMAX($A$4:$AI$64,34,$A$106:$A$107)</f>
        <v>#REF!</v>
      </c>
      <c r="AF76" s="178" t="e">
        <f>DMAX($A$4:$AI$64,34,$A$108:$A$109)</f>
        <v>#REF!</v>
      </c>
      <c r="AG76" s="178" t="e">
        <f>DMAX($A$4:$AI$64,34,$A$110:$A$111)</f>
        <v>#REF!</v>
      </c>
      <c r="AH76" s="178" t="e">
        <f>DMAX($A$4:$AI$64,34,$A$112:$A$113)</f>
        <v>#REF!</v>
      </c>
      <c r="AI76" s="201" t="e">
        <f>MAX($AI$7:$AI$64)</f>
        <v>#REF!</v>
      </c>
      <c r="AJ76" s="175"/>
      <c r="AK76" s="175"/>
      <c r="AL76" s="175"/>
      <c r="AM76" s="175"/>
      <c r="AN76" s="194" t="s">
        <v>293</v>
      </c>
      <c r="AO76" s="204">
        <f>IFERROR(SUMIF($A$7:$A$64,"1",$AR$7:$AR$64)/SUMIFS($R$7:$R$64,$A$7:$A$64,"1",$AR$7:$AR$64,"&lt;0"),0)</f>
        <v>0</v>
      </c>
      <c r="AP76" s="204">
        <f>IFERROR(SUMIF($A$7:$A$64,"2",$AR$7:$AR$64)/SUMIFS($R$7:$R$64,$A$7:$A$64,"2",$AR$7:$AR$64,"&lt;0"),0)</f>
        <v>0</v>
      </c>
      <c r="AQ76" s="204">
        <f>IFERROR(SUMIF($A$7:$A$64,"3",$AR$7:$AR$64)/SUMIFS($R$7:$R$64,$A$7:$A$64,"3",$AR$7:$AR$64,"&lt;0"),0)</f>
        <v>0</v>
      </c>
      <c r="AR76" s="204">
        <f>IFERROR(SUMIF($A$7:$A$64,"4",$AR$7:$AR$64)/SUMIFS($R$7:$R$64,$A$7:$A$64,"4",$AR$7:$AR$64,"&lt;0"),0)</f>
        <v>0</v>
      </c>
      <c r="AS76" s="205">
        <f>IFERROR(SUM($AR$7:$AR$64)/SUMIF($AR$7:$AR$64,"&lt;0",$R$7:$R$64),0)</f>
        <v>0</v>
      </c>
      <c r="AT76" s="205"/>
      <c r="AU76" s="205"/>
      <c r="AV76" s="205"/>
      <c r="AW76" s="175"/>
      <c r="AX76" s="194" t="s">
        <v>293</v>
      </c>
      <c r="AY76" s="204">
        <f>IFERROR(SUMIF($A$7:$A$64,"1",$BB$7:$BB$64)/SUMIFS($R$7:$R$64,$A$7:$A$64,"1",$BB$7:$BB$64,"&lt;0"),0)</f>
        <v>0</v>
      </c>
      <c r="AZ76" s="204">
        <f>IFERROR(SUMIF($A$7:$A$64,"2",$BB$7:$BB$64)/SUMIFS($R$7:$R$64,$A$7:$A$64,"2",$BB$7:$BB$64,"&lt;0"),0)</f>
        <v>0</v>
      </c>
      <c r="BA76" s="204">
        <f>IFERROR(SUMIF($A$7:$A$64,"3",$BB$7:$BB$64)/SUMIFS($R$7:$R$64,$A$7:$A$64,"3",$BB$7:$BB$64,"&lt;0"),0)</f>
        <v>0</v>
      </c>
      <c r="BB76" s="204">
        <f>IFERROR(SUMIF($A$7:$A$64,"4",$BB$7:$BB$64)/SUMIFS($R$7:$R$64,$A$7:$A$64,"4",$BB$7:$BB$64,"&lt;0"),0)</f>
        <v>0</v>
      </c>
      <c r="BC76" s="205">
        <f>IFERROR(SUM($BB$7:$BB$64)/SUMIF($BB$7:$BB$64,"&lt;0",$R$7:$R$64),0)</f>
        <v>0</v>
      </c>
      <c r="BD76" s="205"/>
      <c r="BE76" s="205"/>
      <c r="BF76" s="205"/>
      <c r="BG76" s="175"/>
      <c r="BH76" s="194" t="s">
        <v>293</v>
      </c>
      <c r="BI76" s="204">
        <f>IFERROR(SUMIF($A$7:$A$64,"1",$BL$7:$BL$64)/SUMIFS($R$7:$R$64,$A$7:$A$64,"1",$BL$7:$BL$64,"&lt;0"),0)</f>
        <v>0</v>
      </c>
      <c r="BJ76" s="204">
        <f>IFERROR(SUMIF($A$7:$A$64,"2",$BL$7:$BL$64)/SUMIFS($R$7:$R$64,$A$7:$A$64,"2",$BL$7:$BL$64,"&lt;0"),0)</f>
        <v>0</v>
      </c>
      <c r="BK76" s="204">
        <f>IFERROR(SUMIF($A$7:$A$64,"3",$BL$7:$BL$64)/SUMIFS($R$7:$R$64,$A$7:$A$64,"3",$BL$7:$BL$64,"&lt;0"),0)</f>
        <v>0</v>
      </c>
      <c r="BL76" s="204">
        <f>IFERROR(SUMIF($A$7:$A$64,"4",$BL$7:$BL$64)/SUMIFS($R$7:$R$64,$A$7:$A$64,"4",$BL$7:$BL$64,"&lt;0"),0)</f>
        <v>0</v>
      </c>
      <c r="BM76" s="205">
        <f>IFERROR(SUM($BL$7:$BL$64)/SUMIF($BL$7:$BL$64,"&lt;0",$R$7:$R$64),0)</f>
        <v>0</v>
      </c>
      <c r="BN76" s="205"/>
      <c r="BO76" s="205"/>
      <c r="BP76" s="205"/>
      <c r="BQ76" s="175"/>
      <c r="BR76" s="194" t="s">
        <v>293</v>
      </c>
      <c r="BS76" s="204">
        <f>IFERROR(SUMIF($A$7:$A$64,"1",$BV$7:$BV$64)/SUMIFS($R$7:$R$64,$A$7:$A$64,"1",$BV$7:$BV$64,"&lt;0"),0)</f>
        <v>0</v>
      </c>
      <c r="BT76" s="204">
        <f>IFERROR(SUMIF($A$7:$A$64,"2",$BV$7:$BV$64)/SUMIFS($R$7:$R$64,$A$7:$A$64,"2",$BV$7:$BV$64,"&lt;0"),0)</f>
        <v>0</v>
      </c>
      <c r="BU76" s="204">
        <f>IFERROR(SUMIF($A$7:$A$64,"3",$BV$7:$BV$64)/SUMIFS($R$7:$R$64,$A$7:$A$64,"3",$BV$7:$BV$64,"&lt;0"),0)</f>
        <v>0</v>
      </c>
      <c r="BV76" s="204">
        <f>IFERROR(SUMIF($A$7:$A$64,"4",$BV$7:$BV$64)/SUMIFS($R$7:$R$64,$A$7:$A$64,"4",$BV$7:$BV$64,"&lt;0"),0)</f>
        <v>0</v>
      </c>
      <c r="BW76" s="205">
        <f>IFERROR(SUM($BV$7:$BV$64)/SUMIF($BV$7:$BV$64,"&lt;0",$R$7:$R$64),0)</f>
        <v>0</v>
      </c>
      <c r="BX76" s="205"/>
      <c r="BY76" s="205"/>
      <c r="BZ76" s="205"/>
      <c r="CA76" s="175"/>
      <c r="CB76" s="194" t="s">
        <v>293</v>
      </c>
      <c r="CC76" s="204">
        <f>IFERROR(SUMIF($A$7:$A$64,"1",$CF$7:$CF$64)/SUMIFS($R$7:$R$64,$A$7:$A$64,"1",$CF$7:$CF$64,"&lt;0"),0)</f>
        <v>0</v>
      </c>
      <c r="CD76" s="204">
        <f>IFERROR(SUMIF($A$7:$A$64,"2",$CF$7:$CF$64)/SUMIFS($R$7:$R$64,$A$7:$A$64,"2",$CF$7:$CF$64,"&lt;0"),0)</f>
        <v>0</v>
      </c>
      <c r="CE76" s="204">
        <f>IFERROR(SUMIF($A$7:$A$64,"3",$CF$7:$CF$64)/SUMIFS($R$7:$R$64,$A$7:$A$64,"3",$CF$7:$CF$64,"&lt;0"),0)</f>
        <v>0</v>
      </c>
      <c r="CF76" s="204">
        <f>IFERROR(SUMIF($A$7:$A$64,"4",$CF$7:$CF$64)/SUMIFS($R$7:$R$64,$A$7:$A$64,"4",$CF$7:$CF$64,"&lt;0"),0)</f>
        <v>0</v>
      </c>
      <c r="CG76" s="205">
        <f>IFERROR(SUM($CF$7:$CF$64)/SUMIF($CF$7:$CF$64,"&lt;0",$R$7:$R$64),0)</f>
        <v>0</v>
      </c>
      <c r="CH76" s="205"/>
      <c r="CI76" s="205"/>
      <c r="CJ76" s="205"/>
      <c r="CK76" s="175"/>
      <c r="CL76" s="194" t="s">
        <v>293</v>
      </c>
      <c r="CM76" s="204">
        <f>IFERROR(SUMIF($A$7:$A$64,"1",$CP$7:$CP$64)/SUMIFS($R$7:$R$64,$A$7:$A$64,"1",$CP$7:$CP$64,"&lt;0"),0)</f>
        <v>0</v>
      </c>
      <c r="CN76" s="204">
        <f>IFERROR(SUMIF($A$7:$A$64,"2",$CP$7:$CP$64)/SUMIFS($R$7:$R$64,$A$7:$A$64,"2",$CP$7:$CP$64,"&lt;0"),0)</f>
        <v>0</v>
      </c>
      <c r="CO76" s="204">
        <f>IFERROR(SUMIF($A$7:$A$64,"3",$CP$7:$CP$64)/SUMIFS($R$7:$R$64,$A$7:$A$64,"3",$CP$7:$CP$64,"&lt;0"),0)</f>
        <v>0</v>
      </c>
      <c r="CP76" s="204">
        <f>IFERROR(SUMIF($A$7:$A$64,"4",$CP$7:$CP$64)/SUMIFS($R$7:$R$64,$A$7:$A$64,"4",$CP$7:$CP$64,"&lt;0"),0)</f>
        <v>0</v>
      </c>
      <c r="CQ76" s="205">
        <f>IFERROR(SUM($CP$7:$CP$64)/SUMIF($CP$7:$CP$64,"&lt;0",$R$7:$R$64),0)</f>
        <v>0</v>
      </c>
      <c r="CR76" s="205"/>
      <c r="CS76" s="205"/>
      <c r="DA76" s="194" t="s">
        <v>275</v>
      </c>
      <c r="DB76" s="178" t="e">
        <f>DMAX($A$4:$DD$64,106,$A$106:$A$107)</f>
        <v>#REF!</v>
      </c>
      <c r="DC76" s="178" t="e">
        <f>DMAX($A$4:$DD$64,106,$A$108:$A$109)</f>
        <v>#REF!</v>
      </c>
      <c r="DD76" s="178" t="e">
        <f>DMAX($A$4:$DD$64,106,$A$110:$A$111)</f>
        <v>#REF!</v>
      </c>
      <c r="DE76" s="178" t="e">
        <f>DMAX($A$4:$DD$64,106,$A$112:$A$113)</f>
        <v>#REF!</v>
      </c>
      <c r="DF76" s="201" t="e">
        <f>MAX($DC$7:$DC$64)</f>
        <v>#REF!</v>
      </c>
      <c r="DJ76" s="194"/>
      <c r="DK76" s="178"/>
      <c r="DL76" s="178"/>
      <c r="DM76" s="178"/>
    </row>
    <row r="77" spans="1:209" x14ac:dyDescent="0.45">
      <c r="D77" s="194"/>
      <c r="G77" s="194"/>
      <c r="I77" s="194" t="s">
        <v>140</v>
      </c>
      <c r="J77" s="178" t="e">
        <f t="array" ref="J77">MEDIAN(IF($A$7:$A$64=1,$N$7:$N$64))</f>
        <v>#REF!</v>
      </c>
      <c r="K77" s="178" t="e">
        <f t="array" ref="K77">MEDIAN(IF($A$7:$A$64=2,$N$7:$N$64))</f>
        <v>#REF!</v>
      </c>
      <c r="L77" s="178" t="e">
        <f t="array" ref="L77">MEDIAN(IF($A$7:$A$64=3,$N$7:$N$64))</f>
        <v>#REF!</v>
      </c>
      <c r="M77" s="178" t="e">
        <f t="array" ref="M77">MEDIAN(IF($A$7:$A$64=4,$N$7:$N$64))</f>
        <v>#REF!</v>
      </c>
      <c r="N77" s="201" t="e">
        <f>MEDIAN($N$7:$N$64)</f>
        <v>#REF!</v>
      </c>
      <c r="Q77" s="194" t="s">
        <v>140</v>
      </c>
      <c r="R77" s="178" t="e">
        <f t="array" ref="R77">MEDIAN(IF($A$7:$A$64=1,$V$7:$V$64))</f>
        <v>#REF!</v>
      </c>
      <c r="S77" s="178" t="e">
        <f t="array" ref="S77">MEDIAN(IF($A$7:$A$64=2,$V$7:$V$64))</f>
        <v>#REF!</v>
      </c>
      <c r="T77" s="178" t="e">
        <f t="array" ref="T77">MEDIAN(IF($A$7:$A$64=3,$V$7:$V$64))</f>
        <v>#REF!</v>
      </c>
      <c r="U77" s="178" t="e">
        <f t="array" ref="U77">MEDIAN(IF($A$7:$A$64=4,$V$7:$V$64))</f>
        <v>#REF!</v>
      </c>
      <c r="V77" s="201" t="e">
        <f>MEDIAN($V$7:$V$64)</f>
        <v>#REF!</v>
      </c>
      <c r="X77" s="174"/>
      <c r="AB77" s="174"/>
      <c r="AD77" s="194" t="s">
        <v>140</v>
      </c>
      <c r="AE77" s="178" t="e">
        <f t="array" ref="AE77">MEDIAN(IF($A$7:$A$64=1,$AI$7:$AI$64))</f>
        <v>#REF!</v>
      </c>
      <c r="AF77" s="178" t="e">
        <f t="array" ref="AF77">MEDIAN(IF($A$7:$A$64=2,$AI$7:$AI$64))</f>
        <v>#REF!</v>
      </c>
      <c r="AG77" s="178" t="e">
        <f t="array" ref="AG77">MEDIAN(IF($A$7:$A$64=3,$AI$7:$AI$64))</f>
        <v>#REF!</v>
      </c>
      <c r="AH77" s="178" t="e">
        <f t="array" ref="AH77">MEDIAN(IF($A$7:$A$64=4,$AI$7:$AI$64))</f>
        <v>#REF!</v>
      </c>
      <c r="AI77" s="201" t="e">
        <f>MEDIAN($AI$7:$AI$64)</f>
        <v>#REF!</v>
      </c>
      <c r="AJ77" s="174"/>
      <c r="AK77" s="174"/>
      <c r="AL77" s="174"/>
      <c r="AM77" s="174"/>
      <c r="AN77" s="194" t="s">
        <v>294</v>
      </c>
      <c r="AO77" s="204">
        <f>IFERROR(SUMIF($A$7:$A$64,"1",$AQ$7:$AQ$64)/SUMIFS($R$7:$R$64,$A$7:$A$64,"1",$AQ$7:$AQ$64,"&gt;0"),0)</f>
        <v>0</v>
      </c>
      <c r="AP77" s="204">
        <f>IFERROR(SUMIF($A$7:$A$64,"2",$AQ$7:$AQ$64)/SUMIFS($R$7:$R$64,$A$7:$A$64,"2",$AQ$7:$AQ$64,"&gt;0"),0)</f>
        <v>0</v>
      </c>
      <c r="AQ77" s="204">
        <f>IFERROR(SUMIF($A$7:$A$64,"3",$AQ$7:$AQ$64)/SUMIFS($R$7:$R$64,$A$7:$A$64,"3",$AQ$7:$AQ$64,"&gt;0"),0)</f>
        <v>0</v>
      </c>
      <c r="AR77" s="204">
        <f>IFERROR(SUMIF($A$7:$A$64,"4",$AQ$7:$AQ$64)/SUMIFS($R$7:$R$64,$A$7:$A$64,"4",$AQ$7:$AQ$64,"&gt;0"),0)</f>
        <v>0</v>
      </c>
      <c r="AS77" s="205">
        <f>IFERROR(SUM($AQ$7:$AQ$64)/SUMIF($AQ$7:$AQ$64,"&gt;0",$R$7:$R$64),0)</f>
        <v>0</v>
      </c>
      <c r="AT77" s="206"/>
      <c r="AU77" s="206"/>
      <c r="AV77" s="206"/>
      <c r="AW77" s="174"/>
      <c r="AX77" s="194" t="s">
        <v>294</v>
      </c>
      <c r="AY77" s="204">
        <f>IFERROR(SUMIF($A$7:$A$64,"1",$BA$7:$BA$64)/SUMIFS($R$7:$R$64,$A$7:$A$64,"1",$BA$7:$BA$64,"&gt;0"),0)</f>
        <v>0</v>
      </c>
      <c r="AZ77" s="204">
        <f>IFERROR(SUMIF($A$7:$A$64,"2",$BA$7:$BA$64)/SUMIFS($R$7:$R$64,$A$7:$A$64,"2",$BA$7:$BA$64,"&gt;0"),0)</f>
        <v>0</v>
      </c>
      <c r="BA77" s="204">
        <f>IFERROR(SUMIF($A$7:$A$64,"3",$BA$7:$BA$64)/SUMIFS($R$7:$R$64,$A$7:$A$64,"3",$BA$7:$BA$64,"&gt;0"),0)</f>
        <v>0</v>
      </c>
      <c r="BB77" s="204">
        <f>IFERROR(SUMIF($A$7:$A$64,"4",$BA$7:$BA$64)/SUMIFS($R$7:$R$64,$A$7:$A$64,"4",$BA$7:$BA$64,"&gt;0"),0)</f>
        <v>0</v>
      </c>
      <c r="BC77" s="205">
        <f>IFERROR(SUM($BA$7:$BA$64)/SUMIF($BA$7:$BA$64,"&gt;0",$R$7:$R$64),0)</f>
        <v>0</v>
      </c>
      <c r="BD77" s="206"/>
      <c r="BE77" s="206"/>
      <c r="BF77" s="206"/>
      <c r="BG77" s="174"/>
      <c r="BH77" s="194" t="s">
        <v>294</v>
      </c>
      <c r="BI77" s="204">
        <f>IFERROR(SUMIF($A$7:$A$64,"1",$BK$7:$BK$64)/SUMIFS($R$7:$R$64,$A$7:$A$64,"1",$BK$7:$BK$64,"&gt;0"),0)</f>
        <v>0</v>
      </c>
      <c r="BJ77" s="204">
        <f>IFERROR(SUMIF($A$7:$A$64,"2",$BK$7:$BK$64)/SUMIFS($R$7:$R$64,$A$7:$A$64,"2",$BK$7:$BK$64,"&gt;0"),0)</f>
        <v>0</v>
      </c>
      <c r="BK77" s="204">
        <f>IFERROR(SUMIF($A$7:$A$64,"3",$BK$7:$BK$64)/SUMIFS($R$7:$R$64,$A$7:$A$64,"3",$BK$7:$BK$64,"&gt;0"),0)</f>
        <v>0</v>
      </c>
      <c r="BL77" s="204">
        <f>IFERROR(SUMIF($A$7:$A$64,"4",$BK$7:$BK$64)/SUMIFS($R$7:$R$64,$A$7:$A$64,"4",$BK$7:$BK$64,"&gt;0"),0)</f>
        <v>0</v>
      </c>
      <c r="BM77" s="205">
        <f>IFERROR(SUM($BK$7:$BK$64)/SUMIF($BK$7:$BK$64,"&gt;0",$R$7:$R$64),0)</f>
        <v>0</v>
      </c>
      <c r="BN77" s="206"/>
      <c r="BO77" s="206"/>
      <c r="BP77" s="206"/>
      <c r="BQ77" s="174"/>
      <c r="BR77" s="194" t="s">
        <v>294</v>
      </c>
      <c r="BS77" s="204">
        <f>IFERROR(SUMIF($A$7:$A$64,"1",$BU$7:$BU$64)/SUMIFS($R$7:$R$64,$A$7:$A$64,"1",$BU$7:$BU$64,"&gt;0"),0)</f>
        <v>0</v>
      </c>
      <c r="BT77" s="204">
        <f>IFERROR(SUMIF($A$7:$A$64,"2",$BU$7:$BU$64)/SUMIFS($R$7:$R$64,$A$7:$A$64,"2",$BU$7:$BU$64,"&gt;0"),0)</f>
        <v>0</v>
      </c>
      <c r="BU77" s="204">
        <f>IFERROR(SUMIF($A$7:$A$64,"3",$BU$7:$BU$64)/SUMIFS($R$7:$R$64,$A$7:$A$64,"3",$BU$7:$BU$64,"&gt;0"),0)</f>
        <v>0</v>
      </c>
      <c r="BV77" s="204">
        <f>IFERROR(SUMIF($A$7:$A$64,"4",$BU$7:$BU$64)/SUMIFS($R$7:$R$64,$A$7:$A$64,"4",$BU$7:$BU$64,"&gt;0"),0)</f>
        <v>0</v>
      </c>
      <c r="BW77" s="205">
        <f>IFERROR(SUM($BU$7:$BU$64)/SUMIF($BU$7:$BU$64,"&gt;0",$R$7:$R$64),0)</f>
        <v>0</v>
      </c>
      <c r="BX77" s="206"/>
      <c r="BY77" s="206"/>
      <c r="BZ77" s="206"/>
      <c r="CA77" s="174"/>
      <c r="CB77" s="194" t="s">
        <v>294</v>
      </c>
      <c r="CC77" s="204">
        <f>IFERROR(SUMIF($A$7:$A$64,"1",$CE$7:$CE$64)/SUMIFS($R$7:$R$64,$A$7:$A$64,"1",$CE$7:$CE$64,"&gt;0"),0)</f>
        <v>0</v>
      </c>
      <c r="CD77" s="204">
        <f>IFERROR(SUMIF($A$7:$A$64,"2",$CE$7:$CE$64)/SUMIFS($R$7:$R$64,$A$7:$A$64,"2",$CE$7:$CE$64,"&gt;0"),0)</f>
        <v>0</v>
      </c>
      <c r="CE77" s="204">
        <f>IFERROR(SUMIF($A$7:$A$64,"3",$CE$7:$CE$64)/SUMIFS($R$7:$R$64,$A$7:$A$64,"3",$CE$7:$CE$64,"&gt;0"),0)</f>
        <v>0</v>
      </c>
      <c r="CF77" s="204">
        <f>IFERROR(SUMIF($A$7:$A$64,"4",$CE$7:$CE$64)/SUMIFS($R$7:$R$64,$A$7:$A$64,"4",$CE$7:$CE$64,"&gt;0"),0)</f>
        <v>0</v>
      </c>
      <c r="CG77" s="205">
        <f>IFERROR(SUM($CE$7:$CE$64)/SUMIF($CE$7:$CE$64,"&gt;0",$R$7:$R$64),0)</f>
        <v>0</v>
      </c>
      <c r="CH77" s="206"/>
      <c r="CI77" s="206"/>
      <c r="CJ77" s="206"/>
      <c r="CK77" s="174"/>
      <c r="CL77" s="194" t="s">
        <v>294</v>
      </c>
      <c r="CM77" s="204">
        <f>IFERROR(SUMIF($A$7:$A$64,"1",$CO$7:$CO$64)/SUMIFS($R$7:$R$64,$A$7:$A$64,"1",$CO$7:$CO$64,"&gt;0"),0)</f>
        <v>0</v>
      </c>
      <c r="CN77" s="204">
        <f>IFERROR(SUMIF($A$7:$A$64,"2",$CO$7:$CO$64)/SUMIFS($R$7:$R$64,$A$7:$A$64,"2",$CO$7:$CO$64,"&gt;0"),0)</f>
        <v>0</v>
      </c>
      <c r="CO77" s="204">
        <f>IFERROR(SUMIF($A$7:$A$64,"3",$CO$7:$CO$64)/SUMIFS($R$7:$R$64,$A$7:$A$64,"3",$CO$7:$CO$64,"&gt;0"),0)</f>
        <v>0</v>
      </c>
      <c r="CP77" s="204">
        <f>IFERROR(SUMIF($A$7:$A$64,"4",$CO$7:$CO$64)/SUMIFS($R$7:$R$64,$A$7:$A$64,"4",$CO$7:$CO$64,"&gt;0"),0)</f>
        <v>0</v>
      </c>
      <c r="CQ77" s="205">
        <f>IFERROR(SUM($CO$7:$CO$64)/SUMIF($CO$7:$CO$64,"&gt;0",$R$7:$R$64),0)</f>
        <v>0</v>
      </c>
      <c r="CR77" s="206"/>
      <c r="CS77" s="206"/>
      <c r="DA77" s="194" t="s">
        <v>140</v>
      </c>
      <c r="DB77" s="178" t="e">
        <f t="array" ref="DB77">MEDIAN(IF($A$7:$A$64=1,$DC$7:$DC$64))</f>
        <v>#REF!</v>
      </c>
      <c r="DC77" s="178" t="e">
        <f t="array" ref="DC77">MEDIAN(IF($A$7:$A$64=2,$DC$7:$DC$64))</f>
        <v>#REF!</v>
      </c>
      <c r="DD77" s="178" t="e">
        <f t="array" ref="DD77">MEDIAN(IF($A$7:$A$64=3,$DC$7:$DC$64))</f>
        <v>#REF!</v>
      </c>
      <c r="DE77" s="178" t="e">
        <f t="array" ref="DE77">MEDIAN(IF($A$7:$A$64=4,$DC$7:$DC$64))</f>
        <v>#REF!</v>
      </c>
      <c r="DF77" s="201" t="e">
        <f>MEDIAN($DC$7:$DC$64)</f>
        <v>#REF!</v>
      </c>
      <c r="DJ77" s="194"/>
      <c r="DK77" s="178"/>
      <c r="DL77" s="178"/>
      <c r="DM77" s="178"/>
    </row>
    <row r="78" spans="1:209" x14ac:dyDescent="0.45">
      <c r="D78" s="194"/>
      <c r="G78" s="194"/>
      <c r="I78" s="194" t="s">
        <v>276</v>
      </c>
      <c r="J78" s="178" t="e">
        <f>DMIN($A$4:$N$64,14,$A$106:$A$107)</f>
        <v>#REF!</v>
      </c>
      <c r="K78" s="178" t="e">
        <f>DMIN($A$4:$N$64,14,$A$108:$A$109)</f>
        <v>#REF!</v>
      </c>
      <c r="L78" s="178" t="e">
        <f>DMIN($A$4:$N$64,14,$A$110:$A$111)</f>
        <v>#REF!</v>
      </c>
      <c r="M78" s="178" t="e">
        <f>DMIN($A$4:$N$64,14,$A$112:$A$113)</f>
        <v>#REF!</v>
      </c>
      <c r="N78" s="201" t="e">
        <f>MIN($N$7:$N$64)</f>
        <v>#REF!</v>
      </c>
      <c r="Q78" s="194" t="s">
        <v>276</v>
      </c>
      <c r="R78" s="178" t="e">
        <f>DMIN($A$4:$V$64,22,$A$106:$A$107)</f>
        <v>#REF!</v>
      </c>
      <c r="S78" s="178" t="e">
        <f>DMIN($A$4:$V$64,22,$A$108:$A$109)</f>
        <v>#REF!</v>
      </c>
      <c r="T78" s="178" t="e">
        <f>DMIN($A$4:$V$64,22,$A$110:$A$111)</f>
        <v>#REF!</v>
      </c>
      <c r="U78" s="178" t="e">
        <f>DMIN($A$4:$V$64,22,$A$112:$A$113)</f>
        <v>#REF!</v>
      </c>
      <c r="V78" s="201" t="e">
        <f>MIN($V$7:$V$64)</f>
        <v>#REF!</v>
      </c>
      <c r="AD78" s="194" t="s">
        <v>276</v>
      </c>
      <c r="AE78" s="178" t="e">
        <f>DMIN($A$4:$AI$64,34,$A$106:$A$107)</f>
        <v>#REF!</v>
      </c>
      <c r="AF78" s="178" t="e">
        <f>DMIN($A$4:$AI$64,34,$A$108:$A$109)</f>
        <v>#REF!</v>
      </c>
      <c r="AG78" s="178" t="e">
        <f>DMIN($A$4:$AI$64,34,$A$110:$A$111)</f>
        <v>#REF!</v>
      </c>
      <c r="AH78" s="178" t="e">
        <f>DMIN($A$4:$AI$64,34,$A$112:$A$113)</f>
        <v>#REF!</v>
      </c>
      <c r="AI78" s="201" t="e">
        <f>MIN($AI$7:$AI$64)</f>
        <v>#REF!</v>
      </c>
      <c r="AN78" s="194" t="s">
        <v>292</v>
      </c>
      <c r="AO78" s="206">
        <f>IFERROR(SUMIF($A$7:$A$64,"1",$AS$7:$AS$64)/SUMIF($A$7:$A$64,"1",$R$7:$R$64),0)</f>
        <v>0</v>
      </c>
      <c r="AP78" s="206">
        <f>IFERROR(SUMIF($A$7:$A$64,"2",$AS$7:$AS$64)/SUMIF($A$7:$A$64,"2",$R$7:$R$64),0)</f>
        <v>0</v>
      </c>
      <c r="AQ78" s="206">
        <f>IFERROR(SUMIF($A$7:$A$64,"3",$AS$7:$AS$64)/SUMIF($A$7:$A$64,"3",$R$7:$R$64),0)</f>
        <v>0</v>
      </c>
      <c r="AR78" s="206">
        <f>IFERROR(SUMIF($A$7:$A$64,"4",$AS$7:$AS$64)/SUMIF($A$7:$A$64,"4",$R$7:$R$64),0)</f>
        <v>0</v>
      </c>
      <c r="AS78" s="206" t="e">
        <f>AS65/R65</f>
        <v>#REF!</v>
      </c>
      <c r="AX78" s="194" t="s">
        <v>292</v>
      </c>
      <c r="AY78" s="206">
        <f>IFERROR(SUMIF($A$7:$A$64,"1",$BC$7:$BC$64)/SUMIF($A$7:$A$64,"1",$R$7:$R$64),0)</f>
        <v>0</v>
      </c>
      <c r="AZ78" s="206">
        <f>IFERROR(SUMIF($A$7:$A$64,"2",$BC$7:$BC$64)/SUMIF($A$7:$A$64,"2",$R$7:$R$64),0)</f>
        <v>0</v>
      </c>
      <c r="BA78" s="206">
        <f>IFERROR(SUMIF($A$7:$A$64,"3",$BC$7:$BC$64)/SUMIF($A$7:$A$64,"3",$R$7:$R$64),0)</f>
        <v>0</v>
      </c>
      <c r="BB78" s="206">
        <f>IFERROR(SUMIF($A$7:$A$64,"4",$BC$7:$BC$64)/SUMIF($A$7:$A$64,"4",$R$7:$R$64),0)</f>
        <v>0</v>
      </c>
      <c r="BC78" s="206" t="e">
        <f>BC65/R65</f>
        <v>#REF!</v>
      </c>
      <c r="BH78" s="194" t="s">
        <v>292</v>
      </c>
      <c r="BI78" s="206">
        <f>IFERROR(SUMIF($A$7:$A$64,"1",$BM$7:$BM$64)/SUMIF($A$7:$A$64,"1",$R$7:$R$64),0)</f>
        <v>0</v>
      </c>
      <c r="BJ78" s="206">
        <f>IFERROR(SUMIF($A$7:$A$64,"2",$BM$7:$BM$64)/SUMIF($A$7:$A$64,"2",$R$7:$R$64),0)</f>
        <v>0</v>
      </c>
      <c r="BK78" s="206">
        <f>IFERROR(SUMIF($A$7:$A$64,"3",$BM$7:$BM$64)/SUMIF($A$7:$A$64,"3",$R$7:$R$64),0)</f>
        <v>0</v>
      </c>
      <c r="BL78" s="206">
        <f>IFERROR(SUMIF($A$7:$A$64,"4",$BM$7:$BM$64)/SUMIF($A$7:$A$64,"4",$R$7:$R$64),0)</f>
        <v>0</v>
      </c>
      <c r="BM78" s="206" t="e">
        <f>BM65/R65</f>
        <v>#REF!</v>
      </c>
      <c r="BR78" s="194" t="s">
        <v>292</v>
      </c>
      <c r="BS78" s="206">
        <f>IFERROR(SUMIF($A$7:$A$64,"1",$BW$7:$BW$64)/SUMIF($A$7:$A$64,"1",$R$7:$R$64),0)</f>
        <v>0</v>
      </c>
      <c r="BT78" s="206">
        <f>IFERROR(SUMIF($A$7:$A$64,"2",$BW$7:$BW$64)/SUMIF($A$7:$A$64,"2",$R$7:$R$64),0)</f>
        <v>0</v>
      </c>
      <c r="BU78" s="206">
        <f>IFERROR(SUMIF($A$7:$A$64,"3",$BW$7:$BW$64)/SUMIF($A$7:$A$64,"3",$R$7:$R$64),0)</f>
        <v>0</v>
      </c>
      <c r="BV78" s="206">
        <f>IFERROR(SUMIF($A$7:$A$64,"4",$BW$7:$BW$64)/SUMIF($A$7:$A$64,"4",$R$7:$R$64),0)</f>
        <v>0</v>
      </c>
      <c r="BW78" s="206" t="e">
        <f>BW65/R65</f>
        <v>#REF!</v>
      </c>
      <c r="CB78" s="194" t="s">
        <v>292</v>
      </c>
      <c r="CC78" s="206">
        <f>IFERROR(SUMIF($A$7:$A$64,"1",$CG$7:$CG$64)/SUMIF($A$7:$A$64,"1",$R$7:$R$64),0)</f>
        <v>0</v>
      </c>
      <c r="CD78" s="206">
        <f>IFERROR(SUMIF($A$7:$A$64,"2",$CG$7:$CG$64)/SUMIF($A$7:$A$64,"2",$R$7:$R$64),0)</f>
        <v>0</v>
      </c>
      <c r="CE78" s="206">
        <f>IFERROR(SUMIF($A$7:$A$64,"3",$CG$7:$CG$64)/SUMIF($A$7:$A$64,"3",$R$7:$R$64),0)</f>
        <v>0</v>
      </c>
      <c r="CF78" s="206">
        <f>IFERROR(SUMIF($A$7:$A$64,"4",$CG$7:$CG$64)/SUMIF($A$7:$A$64,"4",$R$7:$R$64),0)</f>
        <v>0</v>
      </c>
      <c r="CG78" s="206" t="e">
        <f>CG65/$R65</f>
        <v>#REF!</v>
      </c>
      <c r="CL78" s="194" t="s">
        <v>292</v>
      </c>
      <c r="CM78" s="206">
        <f>IFERROR(SUMIF($A$7:$A$64,"1",$CQ$7:$CQ$64)/SUMIF($A$7:$A$64,"1",$R$7:$R$64),0)</f>
        <v>0</v>
      </c>
      <c r="CN78" s="206">
        <f>IFERROR(SUMIF($A$7:$A$64,"2",$CQ$7:$CQ$64)/SUMIF($A$7:$A$64,"2",$R$7:$R$64),0)</f>
        <v>0</v>
      </c>
      <c r="CO78" s="206">
        <f>IFERROR(SUMIF($A$7:$A$64,"3",$CQ$7:$CQ$64)/SUMIF($A$7:$A$64,"3",$R$7:$R$64),0)</f>
        <v>0</v>
      </c>
      <c r="CP78" s="206">
        <f>IFERROR(SUMIF($A$7:$A$64,"4",$CQ$7:$CQ$64)/SUMIF($A$7:$A$64,"4",$R$7:$R$64),0)</f>
        <v>0</v>
      </c>
      <c r="CQ78" s="206" t="e">
        <f>CQ65/$R65</f>
        <v>#REF!</v>
      </c>
      <c r="DA78" s="194" t="s">
        <v>276</v>
      </c>
      <c r="DB78" s="178" t="e">
        <f>DMIN($A$4:$DD$64,106,$A$106:$A$107)</f>
        <v>#REF!</v>
      </c>
      <c r="DC78" s="178" t="e">
        <f>DMIN($A$4:$DD$64,106,$A$108:$A$109)</f>
        <v>#REF!</v>
      </c>
      <c r="DD78" s="178" t="e">
        <f>DMIN($A$4:$DD$64,106,$A$110:$A$111)</f>
        <v>#REF!</v>
      </c>
      <c r="DE78" s="178" t="e">
        <f>DMIN($A$4:$DD$64,106,$A$112:$A$113)</f>
        <v>#REF!</v>
      </c>
      <c r="DF78" s="201" t="e">
        <f>MIN($DC$7:$DC$64)</f>
        <v>#REF!</v>
      </c>
      <c r="DJ78" s="194"/>
      <c r="DK78" s="178"/>
      <c r="DL78" s="178"/>
      <c r="DM78" s="178"/>
    </row>
    <row r="79" spans="1:209" ht="6" customHeight="1" x14ac:dyDescent="0.45">
      <c r="B79" s="194"/>
      <c r="C79" s="187"/>
      <c r="D79" s="194"/>
      <c r="F79" s="187"/>
      <c r="G79" s="194"/>
      <c r="H79" s="194"/>
      <c r="I79" s="187"/>
      <c r="J79" s="187"/>
      <c r="K79" s="187"/>
      <c r="L79" s="187"/>
      <c r="M79" s="187"/>
      <c r="N79" s="187"/>
      <c r="Q79" s="194"/>
      <c r="R79" s="187"/>
      <c r="S79" s="187"/>
      <c r="T79" s="187"/>
      <c r="U79" s="187"/>
      <c r="V79" s="187"/>
      <c r="X79" s="194"/>
      <c r="AB79" s="194"/>
      <c r="AC79" s="187"/>
      <c r="AF79" s="187"/>
      <c r="AG79" s="187"/>
      <c r="AH79" s="187"/>
      <c r="AI79" s="187"/>
      <c r="AJ79" s="194"/>
      <c r="AK79" s="194"/>
      <c r="AL79" s="194"/>
      <c r="AM79" s="194"/>
      <c r="AN79" s="194"/>
      <c r="AO79" s="194"/>
      <c r="AP79" s="194"/>
      <c r="AQ79" s="194"/>
      <c r="AR79" s="194"/>
      <c r="AS79" s="194"/>
      <c r="AT79" s="194"/>
      <c r="AU79" s="194"/>
      <c r="AV79" s="194"/>
      <c r="AW79" s="194"/>
      <c r="AX79" s="194"/>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4"/>
      <c r="BY79" s="194"/>
      <c r="BZ79" s="194"/>
      <c r="CA79" s="194"/>
      <c r="CB79" s="194"/>
      <c r="CC79" s="194"/>
      <c r="CD79" s="194"/>
      <c r="CE79" s="194"/>
      <c r="CF79" s="194"/>
      <c r="CG79" s="194"/>
      <c r="CH79" s="194"/>
      <c r="CI79" s="194"/>
      <c r="CJ79" s="194"/>
      <c r="CK79" s="194"/>
      <c r="CL79" s="194"/>
      <c r="CM79" s="194"/>
      <c r="CN79" s="194"/>
      <c r="CO79" s="194"/>
      <c r="CP79" s="194"/>
      <c r="CQ79" s="194"/>
      <c r="CR79" s="194"/>
      <c r="CS79" s="194"/>
      <c r="DJ79" s="194"/>
      <c r="DK79" s="187"/>
      <c r="DL79" s="187"/>
      <c r="DM79" s="187"/>
    </row>
    <row r="80" spans="1:209" ht="19.5" customHeight="1" x14ac:dyDescent="0.45">
      <c r="B80" s="195"/>
      <c r="C80" s="195"/>
      <c r="D80" s="195"/>
      <c r="F80" s="195"/>
      <c r="G80" s="195"/>
      <c r="H80" s="195"/>
      <c r="I80" s="453" t="s">
        <v>256</v>
      </c>
      <c r="J80" s="453"/>
      <c r="K80" s="453"/>
      <c r="L80" s="453"/>
      <c r="M80" s="453"/>
      <c r="N80" s="453"/>
      <c r="Q80" s="195"/>
      <c r="R80" s="453" t="s">
        <v>260</v>
      </c>
      <c r="S80" s="453"/>
      <c r="T80" s="453"/>
      <c r="U80" s="453"/>
      <c r="V80" s="453"/>
      <c r="X80" s="195"/>
      <c r="AB80" s="195"/>
      <c r="AC80" s="453"/>
      <c r="AD80" s="453"/>
      <c r="AE80" s="453"/>
      <c r="AF80" s="453"/>
      <c r="AG80" s="453"/>
      <c r="AH80" s="453"/>
      <c r="AI80" s="453"/>
      <c r="AJ80" s="195"/>
      <c r="AK80" s="195"/>
      <c r="AL80" s="195"/>
      <c r="AM80" s="195"/>
      <c r="AN80" s="195"/>
      <c r="AO80" s="453" t="s">
        <v>325</v>
      </c>
      <c r="AP80" s="453"/>
      <c r="AQ80" s="453"/>
      <c r="AR80" s="453"/>
      <c r="AS80" s="453"/>
      <c r="AT80" s="195"/>
      <c r="AU80" s="195"/>
      <c r="AV80" s="195"/>
      <c r="AW80" s="195"/>
      <c r="AX80" s="195"/>
      <c r="AY80" s="453" t="s">
        <v>325</v>
      </c>
      <c r="AZ80" s="453"/>
      <c r="BA80" s="453"/>
      <c r="BB80" s="453"/>
      <c r="BC80" s="453"/>
      <c r="BD80" s="195"/>
      <c r="BE80" s="195"/>
      <c r="BF80" s="195"/>
      <c r="BG80" s="195"/>
      <c r="BH80" s="195"/>
      <c r="BI80" s="453" t="s">
        <v>325</v>
      </c>
      <c r="BJ80" s="453"/>
      <c r="BK80" s="453"/>
      <c r="BL80" s="453"/>
      <c r="BM80" s="453"/>
      <c r="BN80" s="195"/>
      <c r="BO80" s="195"/>
      <c r="BP80" s="195"/>
      <c r="BQ80" s="195"/>
      <c r="BR80" s="195"/>
      <c r="BS80" s="453" t="s">
        <v>325</v>
      </c>
      <c r="BT80" s="453"/>
      <c r="BU80" s="453"/>
      <c r="BV80" s="453"/>
      <c r="BW80" s="453"/>
      <c r="BX80" s="195"/>
      <c r="BY80" s="195"/>
      <c r="BZ80" s="195"/>
      <c r="CA80" s="195"/>
      <c r="CB80" s="195"/>
      <c r="CC80" s="453" t="s">
        <v>325</v>
      </c>
      <c r="CD80" s="453"/>
      <c r="CE80" s="453"/>
      <c r="CF80" s="453"/>
      <c r="CG80" s="453"/>
      <c r="CH80" s="195"/>
      <c r="CI80" s="195"/>
      <c r="CJ80" s="195"/>
      <c r="CK80" s="195"/>
      <c r="CL80" s="195"/>
      <c r="CM80" s="453" t="s">
        <v>325</v>
      </c>
      <c r="CN80" s="453"/>
      <c r="CO80" s="453"/>
      <c r="CP80" s="453"/>
      <c r="CQ80" s="453"/>
      <c r="CR80" s="195"/>
      <c r="CS80" s="195"/>
      <c r="DA80" s="195"/>
      <c r="DB80" s="453" t="s">
        <v>312</v>
      </c>
      <c r="DC80" s="453"/>
      <c r="DD80" s="453"/>
      <c r="DE80" s="453"/>
      <c r="DF80" s="453"/>
      <c r="DJ80" s="195"/>
      <c r="DK80" s="195"/>
      <c r="DL80" s="453"/>
      <c r="DM80" s="453"/>
    </row>
    <row r="81" spans="2:140" x14ac:dyDescent="0.45">
      <c r="B81" s="195"/>
      <c r="C81" s="195"/>
      <c r="D81" s="195"/>
      <c r="F81" s="195"/>
      <c r="G81" s="195"/>
      <c r="I81" s="195"/>
      <c r="J81" s="186" t="s">
        <v>71</v>
      </c>
      <c r="K81" s="186" t="s">
        <v>242</v>
      </c>
      <c r="L81" s="186" t="s">
        <v>243</v>
      </c>
      <c r="M81" s="186" t="s">
        <v>244</v>
      </c>
      <c r="N81" s="186" t="s">
        <v>62</v>
      </c>
      <c r="Q81" s="195"/>
      <c r="R81" s="186" t="s">
        <v>71</v>
      </c>
      <c r="S81" s="186" t="s">
        <v>242</v>
      </c>
      <c r="T81" s="186" t="s">
        <v>243</v>
      </c>
      <c r="U81" s="186" t="s">
        <v>244</v>
      </c>
      <c r="V81" s="186" t="s">
        <v>62</v>
      </c>
      <c r="X81" s="195"/>
      <c r="AB81" s="195"/>
      <c r="AC81" s="196"/>
      <c r="AD81" s="196"/>
      <c r="AE81" s="196"/>
      <c r="AF81" s="196"/>
      <c r="AG81" s="196"/>
      <c r="AH81" s="196"/>
      <c r="AI81" s="196"/>
      <c r="AJ81" s="195"/>
      <c r="AK81" s="195"/>
      <c r="AL81" s="195"/>
      <c r="AM81" s="195"/>
      <c r="AN81" s="195"/>
      <c r="AO81" s="186" t="s">
        <v>71</v>
      </c>
      <c r="AP81" s="186" t="s">
        <v>242</v>
      </c>
      <c r="AQ81" s="186" t="s">
        <v>243</v>
      </c>
      <c r="AR81" s="186" t="s">
        <v>244</v>
      </c>
      <c r="AS81" s="186" t="s">
        <v>62</v>
      </c>
      <c r="AT81" s="195"/>
      <c r="AU81" s="195"/>
      <c r="AV81" s="195"/>
      <c r="AW81" s="195"/>
      <c r="AX81" s="195"/>
      <c r="AY81" s="186" t="s">
        <v>71</v>
      </c>
      <c r="AZ81" s="186" t="s">
        <v>242</v>
      </c>
      <c r="BA81" s="186" t="s">
        <v>243</v>
      </c>
      <c r="BB81" s="186" t="s">
        <v>244</v>
      </c>
      <c r="BC81" s="186" t="s">
        <v>62</v>
      </c>
      <c r="BD81" s="195"/>
      <c r="BE81" s="195"/>
      <c r="BF81" s="195"/>
      <c r="BG81" s="195"/>
      <c r="BH81" s="195"/>
      <c r="BI81" s="186" t="s">
        <v>71</v>
      </c>
      <c r="BJ81" s="186" t="s">
        <v>242</v>
      </c>
      <c r="BK81" s="186" t="s">
        <v>243</v>
      </c>
      <c r="BL81" s="186" t="s">
        <v>244</v>
      </c>
      <c r="BM81" s="186" t="s">
        <v>62</v>
      </c>
      <c r="BN81" s="195"/>
      <c r="BO81" s="195"/>
      <c r="BP81" s="195"/>
      <c r="BQ81" s="195"/>
      <c r="BR81" s="195"/>
      <c r="BS81" s="186" t="s">
        <v>71</v>
      </c>
      <c r="BT81" s="186" t="s">
        <v>242</v>
      </c>
      <c r="BU81" s="186" t="s">
        <v>243</v>
      </c>
      <c r="BV81" s="186" t="s">
        <v>244</v>
      </c>
      <c r="BW81" s="186" t="s">
        <v>62</v>
      </c>
      <c r="BX81" s="195"/>
      <c r="BY81" s="195"/>
      <c r="BZ81" s="195"/>
      <c r="CA81" s="195"/>
      <c r="CB81" s="195"/>
      <c r="CC81" s="186" t="s">
        <v>71</v>
      </c>
      <c r="CD81" s="186" t="s">
        <v>242</v>
      </c>
      <c r="CE81" s="186" t="s">
        <v>243</v>
      </c>
      <c r="CF81" s="186" t="s">
        <v>244</v>
      </c>
      <c r="CG81" s="186" t="s">
        <v>62</v>
      </c>
      <c r="CH81" s="195"/>
      <c r="CI81" s="195"/>
      <c r="CJ81" s="195"/>
      <c r="CK81" s="195"/>
      <c r="CL81" s="195"/>
      <c r="CM81" s="186" t="s">
        <v>71</v>
      </c>
      <c r="CN81" s="186" t="s">
        <v>242</v>
      </c>
      <c r="CO81" s="186" t="s">
        <v>243</v>
      </c>
      <c r="CP81" s="186" t="s">
        <v>244</v>
      </c>
      <c r="CQ81" s="186" t="s">
        <v>62</v>
      </c>
      <c r="CR81" s="195"/>
      <c r="CS81" s="195"/>
      <c r="DA81" s="195"/>
      <c r="DB81" s="186" t="s">
        <v>71</v>
      </c>
      <c r="DC81" s="186" t="s">
        <v>242</v>
      </c>
      <c r="DD81" s="186" t="s">
        <v>243</v>
      </c>
      <c r="DE81" s="186" t="s">
        <v>244</v>
      </c>
      <c r="DF81" s="186" t="s">
        <v>62</v>
      </c>
      <c r="DJ81" s="195"/>
      <c r="DK81" s="186"/>
      <c r="DL81" s="186"/>
      <c r="DM81" s="186"/>
    </row>
    <row r="82" spans="2:140" x14ac:dyDescent="0.45">
      <c r="B82" s="194"/>
      <c r="C82" s="175"/>
      <c r="D82" s="194"/>
      <c r="F82" s="175"/>
      <c r="G82" s="194"/>
      <c r="I82" s="194" t="s">
        <v>258</v>
      </c>
      <c r="J82" s="184" t="str">
        <f>TEXT(COUNTIFS($A$7:$A$64,"1",$M$7:$M$64,"&lt;-5%")/J$85,"#0%")&amp;" ("&amp;TEXT(COUNTIFS($A$7:$A$64,"1",$M$7:$M$64,"&lt;-5%"),"#0")&amp;")"</f>
        <v>0% (0)</v>
      </c>
      <c r="K82" s="184" t="str">
        <f>TEXT(COUNTIFS($A$7:$A$64,"2",$M$7:$M$64,"&lt;-5%")/K$85,"#0%")&amp;" ("&amp;TEXT(COUNTIFS($A$7:$A$64,"2",$M$7:$M$64,"&lt;-5%"),"#0")&amp;")"</f>
        <v>0% (0)</v>
      </c>
      <c r="L82" s="184" t="str">
        <f>TEXT(COUNTIFS($A$7:$A$64,"3",$M$7:$M$64,"&lt;-5%")/L$85,"#0%")&amp;" ("&amp;TEXT(COUNTIFS($A$7:$A$64,"3",$M$7:$M$64,"&lt;-5%"),"#0")&amp;")"</f>
        <v>0% (0)</v>
      </c>
      <c r="M82" s="184" t="str">
        <f>TEXT(COUNTIFS($A$7:$A$64,"4",$M$7:$M$64,"&lt;-5%")/M$85,"#0%")&amp;" ("&amp;TEXT(COUNTIFS($A$7:$A$64,"4",$M$7:$M$64,"&lt;-5%"),"#0")&amp;")"</f>
        <v>0% (0)</v>
      </c>
      <c r="N82" s="185" t="str">
        <f>TEXT(COUNTIF($M$7:$M$64,"&lt;-5%")/N$85,"#0%")&amp;" ("&amp;TEXT(COUNTIF($M$7:$M$64,"&lt;-5%"),"#0")&amp;")"</f>
        <v>0% (0)</v>
      </c>
      <c r="Q82" s="194" t="s">
        <v>258</v>
      </c>
      <c r="R82" s="184" t="str">
        <f>TEXT(COUNTIFS($A$7:$A$64,"1",$U$7:$U$64,"&lt;-5%")/R$85,"#0%")&amp;" ("&amp;TEXT(COUNTIFS($A$7:$A$64,"1",$U$7:$U$64,"&lt;-5%"),"#0")&amp;")"</f>
        <v>0% (0)</v>
      </c>
      <c r="S82" s="184" t="str">
        <f>TEXT(COUNTIFS($A$7:$A$64,"2",$U$7:$U$64,"&lt;-5%")/S$85,"#0%")&amp;" ("&amp;TEXT(COUNTIFS($A$7:$A$64,"2",$U$7:$U$64,"&lt;-5%"),"#0")&amp;")"</f>
        <v>0% (0)</v>
      </c>
      <c r="T82" s="184" t="str">
        <f>TEXT(COUNTIFS($A$7:$A$64,"3",$U$7:$U$64,"&lt;-5%")/T$85,"#0%")&amp;" ("&amp;TEXT(COUNTIFS($A$7:$A$64,"3",$U$7:$U$64,"&lt;-5%"),"#0")&amp;")"</f>
        <v>0% (0)</v>
      </c>
      <c r="U82" s="184" t="str">
        <f>TEXT(COUNTIFS($A$7:$A$64,"4",$U$7:$U$64,"&lt;-5%")/U$85,"#0%")&amp;" ("&amp;TEXT(COUNTIFS($A$7:$A$64,"4",$U$7:$U$64,"&lt;-5%"),"#0")&amp;")"</f>
        <v>0% (0)</v>
      </c>
      <c r="V82" s="185" t="str">
        <f>TEXT(COUNTIF($U$7:$U$64,"&lt;-5%")/V$85,"#0%")&amp;" ("&amp;TEXT(COUNTIF($U$7:$U$64,"&lt;-5%"),"#0")&amp;")"</f>
        <v>0% (0)</v>
      </c>
      <c r="X82" s="194"/>
      <c r="AB82" s="194"/>
      <c r="AC82" s="175"/>
      <c r="AF82" s="175"/>
      <c r="AG82" s="175"/>
      <c r="AH82" s="184"/>
      <c r="AI82" s="187"/>
      <c r="AJ82" s="194"/>
      <c r="AK82" s="194"/>
      <c r="AL82" s="194"/>
      <c r="AM82" s="194"/>
      <c r="AN82" s="194" t="s">
        <v>275</v>
      </c>
      <c r="AO82" s="178" t="e">
        <f>DMAX($A$4:$AU$64,46,$A$106:$A$107)</f>
        <v>#REF!</v>
      </c>
      <c r="AP82" s="178" t="e">
        <f>DMAX($A$4:$AU$64,46,$A$108:$A$109)</f>
        <v>#REF!</v>
      </c>
      <c r="AQ82" s="178" t="e">
        <f>DMAX($A$4:$AU$64,46,$A$110:$A$111)</f>
        <v>#REF!</v>
      </c>
      <c r="AR82" s="178" t="e">
        <f>DMAX($A$4:$AU$64,46,$A$112:$A$113)</f>
        <v>#REF!</v>
      </c>
      <c r="AS82" s="201" t="e">
        <f>MAX($AU$7:$AU$64)</f>
        <v>#REF!</v>
      </c>
      <c r="AT82" s="194"/>
      <c r="AU82" s="194"/>
      <c r="AV82" s="194"/>
      <c r="AW82" s="194"/>
      <c r="AX82" s="194" t="s">
        <v>275</v>
      </c>
      <c r="AY82" s="178">
        <f>DMAX($A$4:$BE$64,56,$A$106:$A$107)</f>
        <v>1113.0837305426685</v>
      </c>
      <c r="AZ82" s="178">
        <f>DMAX($A$4:$BE$64,56,$A$108:$A$109)</f>
        <v>1642.6576095916971</v>
      </c>
      <c r="BA82" s="178">
        <f>DMAX($A$4:$BE$64,56,$A$110:$A$111)</f>
        <v>-689.25120874918503</v>
      </c>
      <c r="BB82" s="178">
        <f>DMAX($A$4:$BE$64,56,$A$112:$A$113)</f>
        <v>1391.0273038003797</v>
      </c>
      <c r="BC82" s="201">
        <f>MAX($BE$7:$BE$64)</f>
        <v>3.1986597868639909E-2</v>
      </c>
      <c r="BD82" s="194"/>
      <c r="BE82" s="194"/>
      <c r="BF82" s="194"/>
      <c r="BG82" s="194"/>
      <c r="BH82" s="194" t="s">
        <v>275</v>
      </c>
      <c r="BI82" s="178" t="e">
        <f>DMAX($A$4:$BY$64,66,$A$106:$A$107)</f>
        <v>#REF!</v>
      </c>
      <c r="BJ82" s="178" t="e">
        <f>DMAX($A$4:$BY$64,66,$A$108:$A$109)</f>
        <v>#REF!</v>
      </c>
      <c r="BK82" s="178" t="e">
        <f>DMAX($A$4:$BY$64,66,$A$110:$A$111)</f>
        <v>#REF!</v>
      </c>
      <c r="BL82" s="178" t="e">
        <f>DMAX($A$4:$BY$64,66,$A$112:$A$113)</f>
        <v>#REF!</v>
      </c>
      <c r="BM82" s="201" t="e">
        <f>MAX($BO$7:$BO$64)</f>
        <v>#REF!</v>
      </c>
      <c r="BN82" s="194"/>
      <c r="BO82" s="194"/>
      <c r="BP82" s="194"/>
      <c r="BQ82" s="194"/>
      <c r="BR82" s="194" t="s">
        <v>275</v>
      </c>
      <c r="BS82" s="178" t="e">
        <f>DMAX($A$4:$BY$64,76,$A$106:$A$107)</f>
        <v>#REF!</v>
      </c>
      <c r="BT82" s="178" t="e">
        <f>DMAX($A$4:$BY$64,76,$A$108:$A$109)</f>
        <v>#REF!</v>
      </c>
      <c r="BU82" s="178" t="e">
        <f>DMAX($A$4:$BY$64,76,$A$110:$A$111)</f>
        <v>#REF!</v>
      </c>
      <c r="BV82" s="178" t="e">
        <f>DMAX($A$4:$BY$64,76,$A$112:$A$113)</f>
        <v>#REF!</v>
      </c>
      <c r="BW82" s="201" t="e">
        <f>MAX($BY$7:$BY$64)</f>
        <v>#REF!</v>
      </c>
      <c r="BX82" s="194"/>
      <c r="BY82" s="194"/>
      <c r="BZ82" s="194"/>
      <c r="CA82" s="194"/>
      <c r="CB82" s="194" t="s">
        <v>275</v>
      </c>
      <c r="CC82" s="178" t="e">
        <f>DMAX($A$4:$CI$64,86,$A$106:$A$107)</f>
        <v>#REF!</v>
      </c>
      <c r="CD82" s="178" t="e">
        <f>DMAX($A$4:$CI$64,86,$A$108:$A$109)</f>
        <v>#REF!</v>
      </c>
      <c r="CE82" s="178" t="e">
        <f>DMAX($A$4:$CI$64,86,$A$110:$A$111)</f>
        <v>#REF!</v>
      </c>
      <c r="CF82" s="178" t="e">
        <f>DMAX($A$4:$CI$64,86,$A$112:$A$113)</f>
        <v>#REF!</v>
      </c>
      <c r="CG82" s="201" t="e">
        <f>MAX($CI$7:$CI$64)</f>
        <v>#REF!</v>
      </c>
      <c r="CH82" s="194"/>
      <c r="CI82" s="194"/>
      <c r="CJ82" s="194"/>
      <c r="CK82" s="194"/>
      <c r="CL82" s="194" t="s">
        <v>275</v>
      </c>
      <c r="CM82" s="178" t="e">
        <f>DMAX($A$4:$CS$64,96,$A$106:$A$107)</f>
        <v>#REF!</v>
      </c>
      <c r="CN82" s="178" t="e">
        <f>DMAX($A$4:$CS$64,96,$A$108:$A$109)</f>
        <v>#REF!</v>
      </c>
      <c r="CO82" s="178" t="e">
        <f>DMAX($A$4:$CS$64,96,$A$110:$A$111)</f>
        <v>#REF!</v>
      </c>
      <c r="CP82" s="178" t="e">
        <f>DMAX($A$4:$CS$64,96,$A$112:$A$113)</f>
        <v>#REF!</v>
      </c>
      <c r="CQ82" s="201" t="e">
        <f>MAX($CS$7:$CS$64)</f>
        <v>#REF!</v>
      </c>
      <c r="CR82" s="194"/>
      <c r="CS82" s="194"/>
      <c r="DA82" s="194" t="s">
        <v>309</v>
      </c>
      <c r="DB82" s="184" t="str">
        <f>TEXT(COUNTIFS($A$7:$A$64,"1",$DD$7:$DD$64,"&lt;-10%")/DB$85,"#0%")&amp;" ("&amp;TEXT(COUNTIFS($A$7:$A$64,"1",$DD$7:$DD$64,"&lt;-10%"),"#0")&amp;")"</f>
        <v>0% (0)</v>
      </c>
      <c r="DC82" s="184" t="str">
        <f>TEXT(COUNTIFS($A$7:$A$64,"2",$DD$7:$DD$64,"&lt;-10%")/DC$85,"#0%")&amp;" ("&amp;TEXT(COUNTIFS($A$7:$A$64,"2",$DD$7:$DD$64,"&lt;-10%"),"#0")&amp;")"</f>
        <v>0% (0)</v>
      </c>
      <c r="DD82" s="184" t="str">
        <f>TEXT(COUNTIFS($A$7:$A$64,"3",$DD$7:$DD$64,"&lt;-10%")/DD$85,"#0%")&amp;" ("&amp;TEXT(COUNTIFS($A$7:$A$64,"3",$DD$7:$DD$64,"&lt;-10%"),"#0")&amp;")"</f>
        <v>0% (0)</v>
      </c>
      <c r="DE82" s="184" t="str">
        <f>TEXT(COUNTIFS($A$7:$A$64,"4",$DD$7:$DD$64,"&lt;-10%")/DE$85,"#0%")&amp;" ("&amp;TEXT(COUNTIFS($A$7:$A$64,"4",$DD$7:$DD$64,"&lt;-10%"),"#0")&amp;")"</f>
        <v>0% (0)</v>
      </c>
      <c r="DF82" s="185" t="str">
        <f>TEXT(COUNTIF($DD$7:$DD$64,"&lt;-10%")/DF$85,"#0%")&amp;" ("&amp;TEXT(COUNTIF($DD$7:$DD$64,"&lt;-10%"),"#0")&amp;")"</f>
        <v>0% (0)</v>
      </c>
      <c r="DJ82" s="194"/>
      <c r="DK82" s="184"/>
      <c r="DL82" s="184"/>
      <c r="DM82" s="184"/>
    </row>
    <row r="83" spans="2:140" x14ac:dyDescent="0.45">
      <c r="B83" s="194"/>
      <c r="C83" s="175"/>
      <c r="D83" s="194"/>
      <c r="F83" s="175"/>
      <c r="G83" s="194"/>
      <c r="I83" s="194" t="s">
        <v>264</v>
      </c>
      <c r="J83" s="184" t="str">
        <f>TEXT(COUNTIFS($A$7:$A$64,"1",$M$7:$M$64,"&gt;=-5%",$M$7:$M$64,"&lt;=5%")/J$85,"#0%")&amp;" ("&amp;TEXT(COUNTIFS($A$7:$A$64,"1",$M$7:$M$64,"&gt;=-5%",$M$7:$M$64,"&lt;=5%"),"#0")&amp;")"</f>
        <v>0% (0)</v>
      </c>
      <c r="K83" s="184" t="str">
        <f>TEXT(COUNTIFS($A$7:$A$64,"2",$M$7:$M$64,"&gt;=-5%",$M$7:$M$64,"&lt;=5%")/K$85,"#0%")&amp;" ("&amp;TEXT(COUNTIFS($A$7:$A$64,"2",$M$7:$M$64,"&gt;=-5%",$M$7:$M$64,"&lt;=5%"),"#0")&amp;")"</f>
        <v>0% (0)</v>
      </c>
      <c r="L83" s="184" t="str">
        <f>TEXT(COUNTIFS($A$7:$A$64,"3",$M$7:$M$64,"&gt;=-5%",$M$7:$M$64,"&lt;=5%")/L$85,"#0%")&amp;" ("&amp;TEXT(COUNTIFS($A$7:$A$64,"3",$M$7:$M$64,"&gt;=-5%",$M$7:$M$64,"&lt;=5%"),"#0")&amp;")"</f>
        <v>0% (0)</v>
      </c>
      <c r="M83" s="184" t="str">
        <f>TEXT(COUNTIFS($A$7:$A$64,"4",$M$7:$M$64,"&gt;=-5%",$M$7:$M$64,"&lt;=5%")/M$85,"#0%")&amp;" ("&amp;TEXT(COUNTIFS($A$7:$A$64,"4",$M$7:$M$64,"&gt;=-5%",$M$7:$M$64,"&lt;=5%"),"#0")&amp;")"</f>
        <v>0% (0)</v>
      </c>
      <c r="N83" s="185" t="str">
        <f>TEXT(COUNTIFS($M$7:$M$64,"&gt;=-5%",$M$7:$M$64,"&lt;=5%")/N$85,"#0%")&amp;" ("&amp;TEXT(COUNTIFS($M$7:$M$64,"&gt;=-5%",$M$7:$M$64,"&lt;=5%"),"#0")&amp;")"</f>
        <v>0% (0)</v>
      </c>
      <c r="Q83" s="194" t="s">
        <v>264</v>
      </c>
      <c r="R83" s="184" t="str">
        <f>TEXT(COUNTIFS($A$7:$A$64,"1",$U$7:$U$64,"&gt;=-5%",$U$7:$U$64,"&lt;=5%")/R$85,"#0%")&amp;" ("&amp;TEXT(COUNTIFS($A$7:$A$64,"1",$U$7:$U$64,"&gt;=-5%",$U$7:$U$64,"&lt;=5%"),"#0")&amp;")"</f>
        <v>0% (0)</v>
      </c>
      <c r="S83" s="184" t="str">
        <f>TEXT(COUNTIFS($A$7:$A$64,"2",$U$7:$U$64,"&gt;=-5%",$U$7:$U$64,"&lt;=5%")/S$85,"#0%")&amp;" ("&amp;TEXT(COUNTIFS($A$7:$A$64,"2",$U$7:$U$64,"&gt;=-5%",$U$7:$U$64,"&lt;=5%"),"#0")&amp;")"</f>
        <v>0% (0)</v>
      </c>
      <c r="T83" s="184" t="str">
        <f>TEXT(COUNTIFS($A$7:$A$64,"3",$U$7:$U$64,"&gt;=-5%",$U$7:$U$64,"&lt;=5%")/T$85,"#0%")&amp;" ("&amp;TEXT(COUNTIFS($A$7:$A$64,"3",$U$7:$U$64,"&gt;=-5%",$U$7:$U$64,"&lt;=5%"),"#0")&amp;")"</f>
        <v>0% (0)</v>
      </c>
      <c r="U83" s="184" t="str">
        <f>TEXT(COUNTIFS($A$7:$A$64,"4",$U$7:$U$64,"&gt;=-5%",$U$7:$U$64,"&lt;=5%")/U$85,"#0%")&amp;" ("&amp;TEXT(COUNTIFS($A$7:$A$64,"4",$U$7:$U$64,"&gt;=-5%",$U$7:$U$64,"&lt;=5%"),"#0")&amp;")"</f>
        <v>0% (0)</v>
      </c>
      <c r="V83" s="185" t="str">
        <f>TEXT(COUNTIFS($U$7:$U$64,"&gt;=-5%",$U$7:$U$64,"&lt;=5%")/V$85,"#0%")&amp;" ("&amp;TEXT(COUNTIFS($U$7:$U$64,"&gt;=-5%",$U$7:$U$64,"&lt;=5%"),"#0")&amp;")"</f>
        <v>0% (0)</v>
      </c>
      <c r="X83" s="194"/>
      <c r="AB83" s="194"/>
      <c r="AC83" s="175"/>
      <c r="AF83" s="175"/>
      <c r="AG83" s="175"/>
      <c r="AH83" s="184"/>
      <c r="AI83" s="187"/>
      <c r="AJ83" s="194"/>
      <c r="AK83" s="194"/>
      <c r="AL83" s="194"/>
      <c r="AM83" s="194"/>
      <c r="AN83" s="194" t="s">
        <v>140</v>
      </c>
      <c r="AO83" s="178" t="e">
        <f t="array" ref="AO83">MEDIAN(IF($A$7:$A$64=1,$AU$7:$AU$64))</f>
        <v>#REF!</v>
      </c>
      <c r="AP83" s="178" t="e">
        <f t="array" ref="AP83">MEDIAN(IF($A$7:$A$64=2,$AU$7:$AU$64))</f>
        <v>#REF!</v>
      </c>
      <c r="AQ83" s="178" t="e">
        <f t="array" ref="AQ83">MEDIAN(IF($A$7:$A$64=3,$AU$7:$AU$64))</f>
        <v>#REF!</v>
      </c>
      <c r="AR83" s="178" t="e">
        <f t="array" ref="AR83">MEDIAN(IF($A$7:$A$64=4,$AU$7:$AU$64))</f>
        <v>#REF!</v>
      </c>
      <c r="AS83" s="201" t="e">
        <f>MEDIAN($AU$7:$AU$64)</f>
        <v>#REF!</v>
      </c>
      <c r="AT83" s="194"/>
      <c r="AU83" s="194"/>
      <c r="AV83" s="194"/>
      <c r="AW83" s="194"/>
      <c r="AX83" s="194" t="s">
        <v>140</v>
      </c>
      <c r="AY83" s="178">
        <f t="array" ref="AY83">MEDIAN(IF($A$7:$A$64=1,$BE$7:$BE$64))</f>
        <v>-0.1832456444672797</v>
      </c>
      <c r="AZ83" s="178">
        <f t="array" ref="AZ83">MEDIAN(IF($A$7:$A$64=2,$BE$7:$BE$64))</f>
        <v>-0.12507909479581916</v>
      </c>
      <c r="BA83" s="178">
        <f t="array" ref="BA83">MEDIAN(IF($A$7:$A$64=3,$BE$7:$BE$64))</f>
        <v>-5.3779918987844871E-2</v>
      </c>
      <c r="BB83" s="178">
        <f t="array" ref="BB83">MEDIAN(IF($A$7:$A$64=4,$BE$7:$BE$64))</f>
        <v>-7.2600341347549793E-2</v>
      </c>
      <c r="BC83" s="201">
        <f t="array" ref="BC83">MEDIAN($BE$7:$BE$64)</f>
        <v>-9.944253217189504E-2</v>
      </c>
      <c r="BD83" s="194"/>
      <c r="BE83" s="194"/>
      <c r="BF83" s="194"/>
      <c r="BG83" s="194"/>
      <c r="BH83" s="194" t="s">
        <v>140</v>
      </c>
      <c r="BI83" s="178" t="e">
        <f t="array" ref="BI83">MEDIAN(IF($A$7:$A$64=1,$BO$7:$BO$64))</f>
        <v>#REF!</v>
      </c>
      <c r="BJ83" s="178" t="e">
        <f t="array" ref="BJ83">MEDIAN(IF($A$7:$A$64=2,$BO$7:$BO$64))</f>
        <v>#REF!</v>
      </c>
      <c r="BK83" s="178" t="e">
        <f t="array" ref="BK83">MEDIAN(IF($A$7:$A$64=3,$BO$7:$BO$64))</f>
        <v>#REF!</v>
      </c>
      <c r="BL83" s="178" t="e">
        <f t="array" ref="BL83">MEDIAN(IF($A$7:$A$64=4,$BO$7:$BO$64))</f>
        <v>#REF!</v>
      </c>
      <c r="BM83" s="201" t="e">
        <f>MEDIAN($BO$7:$BO$64)</f>
        <v>#REF!</v>
      </c>
      <c r="BN83" s="194"/>
      <c r="BO83" s="194"/>
      <c r="BP83" s="194"/>
      <c r="BQ83" s="194"/>
      <c r="BR83" s="194" t="s">
        <v>140</v>
      </c>
      <c r="BS83" s="178" t="e">
        <f t="array" ref="BS83">MEDIAN(IF($A$7:$A$64=1,$BY$7:$BY$64))</f>
        <v>#REF!</v>
      </c>
      <c r="BT83" s="178" t="e">
        <f t="array" ref="BT83">MEDIAN(IF($A$7:$A$64=2,$BY$7:$BY$64))</f>
        <v>#REF!</v>
      </c>
      <c r="BU83" s="178" t="e">
        <f t="array" ref="BU83">MEDIAN(IF($A$7:$A$64=3,$BY$7:$BY$64))</f>
        <v>#REF!</v>
      </c>
      <c r="BV83" s="178" t="e">
        <f t="array" ref="BV83">MEDIAN(IF($A$7:$A$64=4,$BY$7:$BY$64))</f>
        <v>#REF!</v>
      </c>
      <c r="BW83" s="201" t="e">
        <f>MEDIAN($BY$7:$BY$64)</f>
        <v>#REF!</v>
      </c>
      <c r="BX83" s="194"/>
      <c r="BY83" s="194"/>
      <c r="BZ83" s="194"/>
      <c r="CA83" s="194"/>
      <c r="CB83" s="194" t="s">
        <v>140</v>
      </c>
      <c r="CC83" s="178" t="e">
        <f t="array" ref="CC83">MEDIAN(IF($A$7:$A$64=1,$CI$7:$CI$64))</f>
        <v>#REF!</v>
      </c>
      <c r="CD83" s="178" t="e">
        <f t="array" ref="CD83">MEDIAN(IF($A$7:$A$64=2,$CI$7:$CI$64))</f>
        <v>#REF!</v>
      </c>
      <c r="CE83" s="178" t="e">
        <f t="array" ref="CE83">MEDIAN(IF($A$7:$A$64=3,$CI$7:$CI$64))</f>
        <v>#REF!</v>
      </c>
      <c r="CF83" s="178" t="e">
        <f t="array" ref="CF83">MEDIAN(IF($A$7:$A$64=4,$CI$7:$CI$64))</f>
        <v>#REF!</v>
      </c>
      <c r="CG83" s="201" t="e">
        <f>MEDIAN($CI$7:$CI$64)</f>
        <v>#REF!</v>
      </c>
      <c r="CH83" s="194"/>
      <c r="CI83" s="194"/>
      <c r="CJ83" s="194"/>
      <c r="CK83" s="194"/>
      <c r="CL83" s="194" t="s">
        <v>140</v>
      </c>
      <c r="CM83" s="178" t="e">
        <f t="array" ref="CM83">MEDIAN(IF($A$7:$A$64=1,$CS$7:$CS$64))</f>
        <v>#REF!</v>
      </c>
      <c r="CN83" s="178" t="e">
        <f t="array" ref="CN83">MEDIAN(IF($A$7:$A$64=2,$CS$7:$CS$64))</f>
        <v>#REF!</v>
      </c>
      <c r="CO83" s="178" t="e">
        <f t="array" ref="CO83">MEDIAN(IF($A$7:$A$64=3,$CS$7:$CS$64))</f>
        <v>#REF!</v>
      </c>
      <c r="CP83" s="178" t="e">
        <f t="array" ref="CP83">MEDIAN(IF($A$7:$A$64=4,$CS$7:$CS$64))</f>
        <v>#REF!</v>
      </c>
      <c r="CQ83" s="201" t="e">
        <f>MEDIAN($CS$7:$CS$64)</f>
        <v>#REF!</v>
      </c>
      <c r="CR83" s="194"/>
      <c r="CS83" s="194"/>
      <c r="DA83" s="194" t="s">
        <v>310</v>
      </c>
      <c r="DB83" s="184" t="str">
        <f>TEXT(COUNTIFS($A$7:$A$64,"1",$DD$7:$DD$64,"&gt;=-10%",$DD$7:$DD$64,"&lt;=10%")/DB$85,"#0%")&amp;" ("&amp;TEXT(COUNTIFS($A$7:$A$64,"1",$DD$7:$DD$64,"&gt;=-10%",$DD$7:$DD$64,"&lt;=10%"),"#0")&amp;")"</f>
        <v>0% (0)</v>
      </c>
      <c r="DC83" s="184" t="str">
        <f>TEXT(COUNTIFS($A$7:$A$64,"2",$DD$7:$DD$64,"&gt;=-10%",$DD$7:$DD$64,"&lt;=10%")/DC$85,"#0%")&amp;" ("&amp;TEXT(COUNTIFS($A$7:$A$64,"2",$DD$7:$DD$64,"&gt;=-10%",$DD$7:$DD$64,"&lt;=10%"),"#0")&amp;")"</f>
        <v>0% (0)</v>
      </c>
      <c r="DD83" s="184" t="str">
        <f>TEXT(COUNTIFS($A$7:$A$64,"3",$DD$7:$DD$64,"&gt;=-10%",$DD$7:$DD$64,"&lt;=10%")/DD$85,"#0%")&amp;" ("&amp;TEXT(COUNTIFS($A$7:$A$64,"3",$DD$7:$DD$64,"&gt;=-10%",$DD$7:$DD$64,"&lt;=10%"),"#0")&amp;")"</f>
        <v>0% (0)</v>
      </c>
      <c r="DE83" s="184" t="str">
        <f>TEXT(COUNTIFS($A$7:$A$64,"4",$DD$7:$DD$64,"&gt;=-10%",$DD$7:$DD$64,"&lt;=10%")/DE$85,"#0%")&amp;" ("&amp;TEXT(COUNTIFS($A$7:$A$64,"4",$DD$7:$DD$64,"&gt;=-10%",$DD$7:$DD$64,"&lt;=10%"),"#0")&amp;")"</f>
        <v>0% (0)</v>
      </c>
      <c r="DF83" s="185" t="str">
        <f>TEXT(COUNTIFS($DD$7:$DD$64,"&gt;=-10%",$DD$7:$DD$64,"&lt;=10%")/DF$85,"#0%")&amp;" ("&amp;TEXT(COUNTIFS($DD$7:$DD$64,"&gt;=-10%",$DD$7:$DD$64,"&lt;=10%"),"#0")&amp;")"</f>
        <v>0% (0)</v>
      </c>
      <c r="DJ83" s="194"/>
      <c r="DK83" s="184"/>
      <c r="DL83" s="184"/>
      <c r="DM83" s="184"/>
    </row>
    <row r="84" spans="2:140" x14ac:dyDescent="0.45">
      <c r="B84" s="194"/>
      <c r="C84" s="175"/>
      <c r="D84" s="194"/>
      <c r="F84" s="175"/>
      <c r="G84" s="194"/>
      <c r="I84" s="194" t="s">
        <v>259</v>
      </c>
      <c r="J84" s="184" t="str">
        <f>TEXT(COUNTIFS($A$7:$A$64,"1",$M$7:$M$64,"&gt;5%")/J$85,"#0%")&amp;" ("&amp;TEXT(COUNTIFS($A$7:$A$64,"1",$M$7:$M$64,"&gt;5%"),"#0")&amp;")"</f>
        <v>0% (0)</v>
      </c>
      <c r="K84" s="184" t="str">
        <f>TEXT(COUNTIFS($A$7:$A$64,"2",$M$7:$M$64,"&gt;5%")/K$85,"#0%")&amp;" ("&amp;TEXT(COUNTIFS($A$7:$A$64,"2",$M$7:$M$64,"&gt;5%"),"#0")&amp;")"</f>
        <v>0% (0)</v>
      </c>
      <c r="L84" s="184" t="str">
        <f>TEXT(COUNTIFS($A$7:$A$64,"3",$M$7:$M$64,"&gt;5%")/L$85,"#0%")&amp;" ("&amp;TEXT(COUNTIFS($A$7:$A$64,"3",$M$7:$M$64,"&gt;5%"),"#0")&amp;")"</f>
        <v>0% (0)</v>
      </c>
      <c r="M84" s="184" t="str">
        <f>TEXT(COUNTIFS($A$7:$A$64,"4",$M$7:$M$64,"&gt;5%")/M$85,"#0%")&amp;" ("&amp;TEXT(COUNTIFS($A$7:$A$64,"4",$M$7:$M$64,"&gt;5%"),"#0")&amp;")"</f>
        <v>0% (0)</v>
      </c>
      <c r="N84" s="185" t="str">
        <f>TEXT(COUNTIF($M$7:$M$64,"&gt;5%")/N$85,"#0%")&amp;" ("&amp;TEXT(COUNTIF($M$7:$M$64,"&gt;5%"),"#0")&amp;")"</f>
        <v>0% (0)</v>
      </c>
      <c r="Q84" s="194" t="s">
        <v>259</v>
      </c>
      <c r="R84" s="184" t="str">
        <f>TEXT(COUNTIFS($A$7:$A$64,"1",$U$7:$U$64,"&gt;5%")/R$85,"#0%")&amp;" ("&amp;TEXT(COUNTIFS($A$7:$A$64,"1",$U$7:$U$64,"&gt;5%"),"#0")&amp;")"</f>
        <v>0% (0)</v>
      </c>
      <c r="S84" s="184" t="str">
        <f>TEXT(COUNTIFS($A$7:$A$64,"2",$U$7:$U$64,"&gt;5%")/S$85,"#0%")&amp;" ("&amp;TEXT(COUNTIFS($A$7:$A$64,"2",$U$7:$U$64,"&gt;5%"),"#0")&amp;")"</f>
        <v>0% (0)</v>
      </c>
      <c r="T84" s="184" t="str">
        <f>TEXT(COUNTIFS($A$7:$A$64,"3",$U$7:$U$64,"&gt;5%")/T$85,"#0%")&amp;" ("&amp;TEXT(COUNTIFS($A$7:$A$64,"3",$U$7:$U$64,"&gt;5%"),"#0")&amp;")"</f>
        <v>0% (0)</v>
      </c>
      <c r="U84" s="184" t="str">
        <f>TEXT(COUNTIFS($A$7:$A$64,"4",$U$7:$U$64,"&gt;5%")/U$85,"#0%")&amp;" ("&amp;TEXT(COUNTIFS($A$7:$A$64,"4",$U$7:$U$64,"&gt;5%"),"#0")&amp;")"</f>
        <v>0% (0)</v>
      </c>
      <c r="V84" s="185" t="str">
        <f>TEXT(COUNTIF($U$7:$U$64,"&gt;5%")/V$85,"#0%")&amp;" ("&amp;TEXT(COUNTIF($U$7:$U$64,"&gt;5%"),"#0")&amp;")"</f>
        <v>0% (0)</v>
      </c>
      <c r="X84" s="194"/>
      <c r="AB84" s="194"/>
      <c r="AC84" s="175"/>
      <c r="AF84" s="175"/>
      <c r="AG84" s="175"/>
      <c r="AH84" s="184"/>
      <c r="AI84" s="187"/>
      <c r="AJ84" s="194"/>
      <c r="AK84" s="194"/>
      <c r="AL84" s="194"/>
      <c r="AM84" s="194"/>
      <c r="AN84" s="194" t="s">
        <v>276</v>
      </c>
      <c r="AO84" s="178" t="e">
        <f>DMIN($A$4:$AU$64,46,$A$106:$A$107)</f>
        <v>#REF!</v>
      </c>
      <c r="AP84" s="178" t="e">
        <f>DMIN($A$4:$AU$64,46,$A$108:$A$109)</f>
        <v>#REF!</v>
      </c>
      <c r="AQ84" s="178" t="e">
        <f>DMIN($A$4:$AU$64,46,$A$110:$A$111)</f>
        <v>#REF!</v>
      </c>
      <c r="AR84" s="178" t="e">
        <f>DMIN($A$4:$AU$64,46,$A$112:$A$113)</f>
        <v>#REF!</v>
      </c>
      <c r="AS84" s="201" t="e">
        <f>MIN($AU$7:$AU$64)</f>
        <v>#REF!</v>
      </c>
      <c r="AT84" s="194"/>
      <c r="AU84" s="194"/>
      <c r="AV84" s="194"/>
      <c r="AW84" s="194"/>
      <c r="AX84" s="194" t="s">
        <v>276</v>
      </c>
      <c r="AY84" s="178">
        <f>DMIN($A$4:$BE$64,56,$A$106:$A$107)</f>
        <v>-22376.18764655519</v>
      </c>
      <c r="AZ84" s="178">
        <f>DMIN($A$4:$BE$64,56,$A$108:$A$109)</f>
        <v>-14177.040549063131</v>
      </c>
      <c r="BA84" s="178">
        <f>DMIN($A$4:$BE$64,56,$A$110:$A$111)</f>
        <v>-10921.803838532986</v>
      </c>
      <c r="BB84" s="178">
        <f>DMIN($A$4:$BE$64,56,$A$112:$A$113)</f>
        <v>-12888.859872800036</v>
      </c>
      <c r="BC84" s="201">
        <f>MIN($BE$7:$BE$64)</f>
        <v>-0.35950620412280759</v>
      </c>
      <c r="BD84" s="194"/>
      <c r="BE84" s="194"/>
      <c r="BF84" s="194"/>
      <c r="BG84" s="194"/>
      <c r="BH84" s="194" t="s">
        <v>276</v>
      </c>
      <c r="BI84" s="178" t="e">
        <f>DMIN($A$4:$BY$64,66,$A$106:$A$107)</f>
        <v>#REF!</v>
      </c>
      <c r="BJ84" s="178" t="e">
        <f>DMIN($A$4:$BY$64,66,$A$108:$A$109)</f>
        <v>#REF!</v>
      </c>
      <c r="BK84" s="178" t="e">
        <f>DMIN($A$4:$BY$64,66,$A$110:$A$111)</f>
        <v>#REF!</v>
      </c>
      <c r="BL84" s="178" t="e">
        <f>DMIN($A$4:$BY$64,66,$A$112:$A$113)</f>
        <v>#REF!</v>
      </c>
      <c r="BM84" s="201" t="e">
        <f>MIN($BO$7:$BO$64)</f>
        <v>#REF!</v>
      </c>
      <c r="BN84" s="194"/>
      <c r="BO84" s="194"/>
      <c r="BP84" s="194"/>
      <c r="BQ84" s="194"/>
      <c r="BR84" s="194" t="s">
        <v>276</v>
      </c>
      <c r="BS84" s="178" t="e">
        <f>DMIN($A$4:$BY$64,76,$A$106:$A$107)</f>
        <v>#REF!</v>
      </c>
      <c r="BT84" s="178" t="e">
        <f>DMIN($A$4:$BY$64,76,$A$108:$A$109)</f>
        <v>#REF!</v>
      </c>
      <c r="BU84" s="178" t="e">
        <f>DMIN($A$4:$BY$64,76,$A$110:$A$111)</f>
        <v>#REF!</v>
      </c>
      <c r="BV84" s="178" t="e">
        <f>DMIN($A$4:$BY$64,76,$A$112:$A$113)</f>
        <v>#REF!</v>
      </c>
      <c r="BW84" s="201" t="e">
        <f>MIN($BY$7:$BY$64)</f>
        <v>#REF!</v>
      </c>
      <c r="BX84" s="194"/>
      <c r="BY84" s="194"/>
      <c r="BZ84" s="194"/>
      <c r="CA84" s="194"/>
      <c r="CB84" s="194" t="s">
        <v>276</v>
      </c>
      <c r="CC84" s="178" t="e">
        <f>DMIN($A$4:$CI$64,86,$A$106:$A$107)</f>
        <v>#REF!</v>
      </c>
      <c r="CD84" s="178" t="e">
        <f>DMIN($A$4:$CI$64,86,$A$108:$A$109)</f>
        <v>#REF!</v>
      </c>
      <c r="CE84" s="178" t="e">
        <f>DMIN($A$4:$CI$64,86,$A$110:$A$111)</f>
        <v>#REF!</v>
      </c>
      <c r="CF84" s="178" t="e">
        <f>DMIN($A$4:$CI$64,86,$A$112:$A$113)</f>
        <v>#REF!</v>
      </c>
      <c r="CG84" s="201" t="e">
        <f>MIN($CI$7:$CI$64)</f>
        <v>#REF!</v>
      </c>
      <c r="CH84" s="194"/>
      <c r="CI84" s="194"/>
      <c r="CJ84" s="194"/>
      <c r="CK84" s="194"/>
      <c r="CL84" s="194" t="s">
        <v>276</v>
      </c>
      <c r="CM84" s="178" t="e">
        <f>DMIN($A$4:$CS$64,96,$A$106:$A$107)</f>
        <v>#REF!</v>
      </c>
      <c r="CN84" s="178" t="e">
        <f>DMIN($A$4:$CS$64,96,$A$108:$A$109)</f>
        <v>#REF!</v>
      </c>
      <c r="CO84" s="178" t="e">
        <f>DMIN($A$4:$CS$64,96,$A$110:$A$111)</f>
        <v>#REF!</v>
      </c>
      <c r="CP84" s="178" t="e">
        <f>DMIN($A$4:$CS$64,96,$A$112:$A$113)</f>
        <v>#REF!</v>
      </c>
      <c r="CQ84" s="201" t="e">
        <f>MIN($CS$7:$CS$64)</f>
        <v>#REF!</v>
      </c>
      <c r="CR84" s="194"/>
      <c r="CS84" s="194"/>
      <c r="DA84" s="194" t="s">
        <v>311</v>
      </c>
      <c r="DB84" s="184" t="str">
        <f>TEXT(COUNTIFS($A$7:$A$64,"1",$DD$7:$DD$64,"&gt;10%")/DB$85,"#0%")&amp;" ("&amp;TEXT(COUNTIFS($A$7:$A$64,"1",$DD$7:$DD$64,"&gt;10%"),"#0")&amp;")"</f>
        <v>0% (0)</v>
      </c>
      <c r="DC84" s="184" t="str">
        <f>TEXT(COUNTIFS($A$7:$A$64,"2",$DD$7:$DD$64,"&gt;10%")/DC$85,"#0%")&amp;" ("&amp;TEXT(COUNTIFS($A$7:$A$64,"2",$DD$7:$DD$64,"&gt;10%"),"#0")&amp;")"</f>
        <v>0% (0)</v>
      </c>
      <c r="DD84" s="184" t="str">
        <f>TEXT(COUNTIFS($A$7:$A$64,"3",$DD$7:$DD$64,"&gt;10%")/DD$85,"#0%")&amp;" ("&amp;TEXT(COUNTIFS($A$7:$A$64,"3",$DD$7:$DD$64,"&gt;10%"),"#0")&amp;")"</f>
        <v>0% (0)</v>
      </c>
      <c r="DE84" s="184" t="str">
        <f>TEXT(COUNTIFS($A$7:$A$64,"4",$DD$7:$DD$64,"&gt;10%")/DE$85,"#0%")&amp;" ("&amp;TEXT(COUNTIFS($A$7:$A$64,"4",$DD$7:$DD$64,"&gt;10%"),"#0")&amp;")"</f>
        <v>0% (0)</v>
      </c>
      <c r="DF84" s="185" t="str">
        <f>TEXT(COUNTIF($DD$7:$DD$64,"&gt;10%")/DF$85,"#0%")&amp;" ("&amp;TEXT(COUNTIF($DD$7:$DD$64,"&gt;10%"),"#0")&amp;")"</f>
        <v>0% (0)</v>
      </c>
      <c r="DJ84" s="194"/>
      <c r="DK84" s="184"/>
      <c r="DL84" s="184"/>
      <c r="DM84" s="184"/>
    </row>
    <row r="85" spans="2:140" x14ac:dyDescent="0.45">
      <c r="B85" s="194"/>
      <c r="C85" s="187"/>
      <c r="D85" s="194"/>
      <c r="F85" s="187"/>
      <c r="G85" s="194"/>
      <c r="I85" s="194" t="s">
        <v>0</v>
      </c>
      <c r="J85" s="187">
        <v>15</v>
      </c>
      <c r="K85" s="187">
        <v>22</v>
      </c>
      <c r="L85" s="187">
        <v>12</v>
      </c>
      <c r="M85" s="187">
        <v>9</v>
      </c>
      <c r="N85" s="187">
        <v>58</v>
      </c>
      <c r="Q85" s="194" t="s">
        <v>0</v>
      </c>
      <c r="R85" s="187">
        <v>15</v>
      </c>
      <c r="S85" s="187">
        <v>22</v>
      </c>
      <c r="T85" s="187">
        <v>12</v>
      </c>
      <c r="U85" s="187">
        <v>9</v>
      </c>
      <c r="V85" s="187">
        <v>58</v>
      </c>
      <c r="X85" s="194"/>
      <c r="AB85" s="194"/>
      <c r="AC85" s="187"/>
      <c r="AF85" s="187"/>
      <c r="AG85" s="187"/>
      <c r="AH85" s="187"/>
      <c r="AI85" s="187"/>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c r="BW85" s="194"/>
      <c r="BX85" s="194"/>
      <c r="BY85" s="194"/>
      <c r="BZ85" s="194"/>
      <c r="CA85" s="194"/>
      <c r="CB85" s="194"/>
      <c r="CC85" s="194"/>
      <c r="CD85" s="194"/>
      <c r="CE85" s="194"/>
      <c r="CF85" s="194"/>
      <c r="CG85" s="194"/>
      <c r="CH85" s="194"/>
      <c r="CI85" s="194"/>
      <c r="CJ85" s="194"/>
      <c r="CK85" s="194"/>
      <c r="CL85" s="194"/>
      <c r="CM85" s="194"/>
      <c r="CN85" s="194"/>
      <c r="CO85" s="194"/>
      <c r="CP85" s="194"/>
      <c r="CQ85" s="194"/>
      <c r="CR85" s="194"/>
      <c r="CS85" s="194"/>
      <c r="DA85" s="194" t="s">
        <v>0</v>
      </c>
      <c r="DB85" s="187">
        <v>15</v>
      </c>
      <c r="DC85" s="187">
        <v>22</v>
      </c>
      <c r="DD85" s="187">
        <v>12</v>
      </c>
      <c r="DE85" s="187">
        <v>9</v>
      </c>
      <c r="DF85" s="187">
        <v>58</v>
      </c>
      <c r="DJ85" s="194"/>
      <c r="DK85" s="187"/>
      <c r="DL85" s="187"/>
      <c r="DM85" s="187"/>
    </row>
    <row r="86" spans="2:140" ht="6" customHeight="1" x14ac:dyDescent="0.45">
      <c r="B86" s="194"/>
      <c r="C86" s="187"/>
      <c r="D86" s="194"/>
      <c r="F86" s="187"/>
      <c r="G86" s="194"/>
      <c r="H86" s="194"/>
      <c r="I86" s="187"/>
      <c r="J86" s="187"/>
      <c r="K86" s="187"/>
      <c r="L86" s="187"/>
      <c r="M86" s="187"/>
      <c r="N86" s="187"/>
      <c r="Q86" s="194"/>
      <c r="R86" s="187"/>
      <c r="S86" s="187"/>
      <c r="T86" s="187"/>
      <c r="U86" s="187"/>
      <c r="V86" s="187"/>
      <c r="X86" s="194"/>
      <c r="AB86" s="194"/>
      <c r="AC86" s="187"/>
      <c r="AF86" s="187"/>
      <c r="AG86" s="187"/>
      <c r="AH86" s="187"/>
      <c r="AI86" s="187"/>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c r="BF86" s="194"/>
      <c r="BG86" s="194"/>
      <c r="BH86" s="194"/>
      <c r="BI86" s="194"/>
      <c r="BJ86" s="194"/>
      <c r="BK86" s="194"/>
      <c r="BL86" s="194"/>
      <c r="BM86" s="194"/>
      <c r="BN86" s="194"/>
      <c r="BO86" s="194"/>
      <c r="BP86" s="194"/>
      <c r="BQ86" s="194"/>
      <c r="BR86" s="194"/>
      <c r="BS86" s="194"/>
      <c r="BT86" s="194"/>
      <c r="BU86" s="194"/>
      <c r="BV86" s="194"/>
      <c r="BW86" s="194"/>
      <c r="BX86" s="194"/>
      <c r="BY86" s="194"/>
      <c r="BZ86" s="194"/>
      <c r="CA86" s="194"/>
      <c r="CB86" s="194"/>
      <c r="CC86" s="194"/>
      <c r="CD86" s="194"/>
      <c r="CE86" s="194"/>
      <c r="CF86" s="194"/>
      <c r="CG86" s="194"/>
      <c r="CH86" s="194"/>
      <c r="CI86" s="194"/>
      <c r="CJ86" s="194"/>
      <c r="CK86" s="194"/>
      <c r="CL86" s="194"/>
      <c r="CM86" s="194"/>
      <c r="CN86" s="194"/>
      <c r="CO86" s="194"/>
      <c r="CP86" s="194"/>
      <c r="CQ86" s="194"/>
      <c r="CR86" s="194"/>
      <c r="CS86" s="194"/>
      <c r="DA86" s="194"/>
      <c r="DB86" s="187"/>
      <c r="DC86" s="187"/>
      <c r="DD86" s="187"/>
      <c r="DE86" s="187"/>
      <c r="DF86" s="187"/>
      <c r="DJ86" s="194"/>
      <c r="DK86" s="187"/>
      <c r="DL86" s="187"/>
      <c r="DM86" s="187"/>
    </row>
    <row r="87" spans="2:140" ht="18.75" customHeight="1" x14ac:dyDescent="0.45">
      <c r="D87" s="195"/>
      <c r="G87" s="195"/>
      <c r="H87" s="195"/>
      <c r="I87" s="453" t="s">
        <v>274</v>
      </c>
      <c r="J87" s="453"/>
      <c r="K87" s="453"/>
      <c r="L87" s="453"/>
      <c r="M87" s="453"/>
      <c r="N87" s="453"/>
      <c r="Q87" s="195"/>
      <c r="R87" s="453" t="s">
        <v>279</v>
      </c>
      <c r="S87" s="453"/>
      <c r="T87" s="453"/>
      <c r="U87" s="453"/>
      <c r="V87" s="453"/>
      <c r="DA87" s="195"/>
      <c r="DB87" s="453" t="s">
        <v>313</v>
      </c>
      <c r="DC87" s="453"/>
      <c r="DD87" s="453"/>
      <c r="DE87" s="453"/>
      <c r="DF87" s="453"/>
      <c r="DJ87" s="195"/>
      <c r="DK87" s="195"/>
      <c r="DL87" s="453"/>
      <c r="DM87" s="453"/>
    </row>
    <row r="88" spans="2:140" x14ac:dyDescent="0.45">
      <c r="D88" s="195"/>
      <c r="G88" s="195"/>
      <c r="I88" s="195"/>
      <c r="J88" s="186" t="s">
        <v>71</v>
      </c>
      <c r="K88" s="186" t="s">
        <v>242</v>
      </c>
      <c r="L88" s="186" t="s">
        <v>243</v>
      </c>
      <c r="M88" s="186" t="s">
        <v>244</v>
      </c>
      <c r="N88" s="186" t="s">
        <v>62</v>
      </c>
      <c r="Q88" s="195"/>
      <c r="R88" s="186" t="s">
        <v>71</v>
      </c>
      <c r="S88" s="186" t="s">
        <v>242</v>
      </c>
      <c r="T88" s="186" t="s">
        <v>243</v>
      </c>
      <c r="U88" s="186" t="s">
        <v>244</v>
      </c>
      <c r="V88" s="186" t="s">
        <v>62</v>
      </c>
      <c r="DA88" s="195"/>
      <c r="DB88" s="186" t="s">
        <v>71</v>
      </c>
      <c r="DC88" s="186" t="s">
        <v>242</v>
      </c>
      <c r="DD88" s="186" t="s">
        <v>243</v>
      </c>
      <c r="DE88" s="186" t="s">
        <v>244</v>
      </c>
      <c r="DF88" s="186" t="s">
        <v>62</v>
      </c>
      <c r="DJ88" s="195"/>
      <c r="DK88" s="186"/>
      <c r="DL88" s="186"/>
      <c r="DM88" s="186"/>
    </row>
    <row r="89" spans="2:140" x14ac:dyDescent="0.45">
      <c r="D89" s="194"/>
      <c r="G89" s="194"/>
      <c r="I89" s="194" t="s">
        <v>275</v>
      </c>
      <c r="J89" s="178" t="e">
        <f>DMAX($A$4:$N$64,13,$A$106:$A$107)</f>
        <v>#REF!</v>
      </c>
      <c r="K89" s="178" t="e">
        <f>DMAX($A$4:$N$64,13,$A$108:$A$109)</f>
        <v>#REF!</v>
      </c>
      <c r="L89" s="178" t="e">
        <f>DMAX($A$4:$N$64,13,$A$110:$A$111)</f>
        <v>#REF!</v>
      </c>
      <c r="M89" s="178" t="e">
        <f>DMAX($A$4:$N$64,13,$A$112:$A$113)</f>
        <v>#REF!</v>
      </c>
      <c r="N89" s="201" t="e">
        <f>MAX($M$7:$M$64)</f>
        <v>#REF!</v>
      </c>
      <c r="Q89" s="194" t="s">
        <v>275</v>
      </c>
      <c r="R89" s="178" t="e">
        <f>DMAX($A$4:$V$64,21,$A$106:$A$107)</f>
        <v>#REF!</v>
      </c>
      <c r="S89" s="178" t="e">
        <f>DMAX($A$4:$V$64,21,$A$108:$A$109)</f>
        <v>#REF!</v>
      </c>
      <c r="T89" s="178" t="e">
        <f>DMAX($A$4:$V$64,21,$A$110:$A$111)</f>
        <v>#REF!</v>
      </c>
      <c r="U89" s="178" t="e">
        <f>DMAX($A$4:$V$64,21,$A$112:$A$113)</f>
        <v>#REF!</v>
      </c>
      <c r="V89" s="201" t="e">
        <f>MAX($U$7:$U$64)</f>
        <v>#REF!</v>
      </c>
      <c r="DA89" s="194" t="s">
        <v>275</v>
      </c>
      <c r="DB89" s="178" t="e">
        <f>DMAX($A$4:$DD$64,107,$A$106:$A$107)</f>
        <v>#REF!</v>
      </c>
      <c r="DC89" s="178" t="e">
        <f>DMAX($A$4:$DD$64,107,$A$108:$A$109)</f>
        <v>#REF!</v>
      </c>
      <c r="DD89" s="178" t="e">
        <f>DMAX($A$4:$DD$64,107,$A$110:$A$111)</f>
        <v>#REF!</v>
      </c>
      <c r="DE89" s="178" t="e">
        <f>DMAX($A$4:$DD$64,107,$A$112:$A$113)</f>
        <v>#REF!</v>
      </c>
      <c r="DF89" s="201" t="e">
        <f>MAX($DD$7:$DD$64)</f>
        <v>#REF!</v>
      </c>
      <c r="DJ89" s="194"/>
      <c r="DK89" s="178"/>
      <c r="DL89" s="178"/>
      <c r="DM89" s="178"/>
    </row>
    <row r="90" spans="2:140" x14ac:dyDescent="0.45">
      <c r="D90" s="194"/>
      <c r="G90" s="194"/>
      <c r="I90" s="194" t="s">
        <v>140</v>
      </c>
      <c r="J90" s="178" t="e">
        <f t="array" ref="J90">MEDIAN(IF($A$7:$A$64=1,$M$7:$M$64))</f>
        <v>#REF!</v>
      </c>
      <c r="K90" s="178" t="e">
        <f t="array" ref="K90">MEDIAN(IF($A$7:$A$64=2,$M$7:$M$64))</f>
        <v>#REF!</v>
      </c>
      <c r="L90" s="178" t="e">
        <f t="array" ref="L90">MEDIAN(IF($A$7:$A$64=3,$M$7:$M$64))</f>
        <v>#REF!</v>
      </c>
      <c r="M90" s="178" t="e">
        <f t="array" ref="M90">MEDIAN(IF($A$7:$A$64=4,$M$7:$M$64))</f>
        <v>#REF!</v>
      </c>
      <c r="N90" s="201" t="e">
        <f>MEDIAN($M$7:$M$64)</f>
        <v>#REF!</v>
      </c>
      <c r="Q90" s="194" t="s">
        <v>140</v>
      </c>
      <c r="R90" s="178" t="e">
        <f t="array" ref="R90">MEDIAN(IF($A$7:$A$64=1,$U$7:$U$64))</f>
        <v>#REF!</v>
      </c>
      <c r="S90" s="178" t="e">
        <f t="array" ref="S90">MEDIAN(IF($A$7:$A$64=2,$U$7:$U$64))</f>
        <v>#REF!</v>
      </c>
      <c r="T90" s="178" t="e">
        <f t="array" ref="T90">MEDIAN(IF($A$7:$A$64=3,$U$7:$U$64))</f>
        <v>#REF!</v>
      </c>
      <c r="U90" s="178" t="e">
        <f t="array" ref="U90">MEDIAN(IF($A$7:$A$64=4,$U$7:$U$64))</f>
        <v>#REF!</v>
      </c>
      <c r="V90" s="201" t="e">
        <f>MEDIAN($U$7:$U$64)</f>
        <v>#REF!</v>
      </c>
      <c r="DA90" s="194" t="s">
        <v>140</v>
      </c>
      <c r="DB90" s="178" t="e">
        <f t="array" ref="DB90">MEDIAN(IF($A$7:$A$64=1,$DD$7:$DD$64))</f>
        <v>#REF!</v>
      </c>
      <c r="DC90" s="178" t="e">
        <f t="array" ref="DC90">MEDIAN(IF($A$7:$A$64=2,$DD$7:$DD$64))</f>
        <v>#REF!</v>
      </c>
      <c r="DD90" s="178" t="e">
        <f t="array" ref="DD90">MEDIAN(IF($A$7:$A$64=3,$DD$7:$DD$64))</f>
        <v>#REF!</v>
      </c>
      <c r="DE90" s="178" t="e">
        <f t="array" ref="DE90">MEDIAN(IF($A$7:$A$64=4,$DD$7:$DD$64))</f>
        <v>#REF!</v>
      </c>
      <c r="DF90" s="201" t="e">
        <f>MEDIAN($DD$7:$DD$64)</f>
        <v>#REF!</v>
      </c>
      <c r="DJ90" s="194"/>
      <c r="DK90" s="178"/>
      <c r="DL90" s="178"/>
      <c r="DM90" s="178"/>
    </row>
    <row r="91" spans="2:140" x14ac:dyDescent="0.45">
      <c r="D91" s="194"/>
      <c r="G91" s="194"/>
      <c r="I91" s="194" t="s">
        <v>276</v>
      </c>
      <c r="J91" s="178" t="e">
        <f>DMIN($A$4:$N$64,13,$A$106:$A$107)</f>
        <v>#REF!</v>
      </c>
      <c r="K91" s="178" t="e">
        <f>DMIN($A$4:$N$64,13,$A$108:$A$109)</f>
        <v>#REF!</v>
      </c>
      <c r="L91" s="178" t="e">
        <f>DMIN($A$4:$N$64,13,$A$110:$A$111)</f>
        <v>#REF!</v>
      </c>
      <c r="M91" s="178" t="e">
        <f>DMIN($A$4:$N$64,13,$A$112:$A$113)</f>
        <v>#REF!</v>
      </c>
      <c r="N91" s="201" t="e">
        <f>MIN($M$7:$M$64)</f>
        <v>#REF!</v>
      </c>
      <c r="Q91" s="194" t="s">
        <v>276</v>
      </c>
      <c r="R91" s="178" t="e">
        <f>DMIN($A$4:$V$64,21,$A$106:$A$107)</f>
        <v>#REF!</v>
      </c>
      <c r="S91" s="178" t="e">
        <f>DMIN($A$4:$V$64,21,$A$108:$A$109)</f>
        <v>#REF!</v>
      </c>
      <c r="T91" s="178" t="e">
        <f>DMIN($A$4:$V$64,21,$A$110:$A$111)</f>
        <v>#REF!</v>
      </c>
      <c r="U91" s="178" t="e">
        <f>DMIN($A$4:$V$64,21,$A$112:$A$113)</f>
        <v>#REF!</v>
      </c>
      <c r="V91" s="201" t="e">
        <f>MIN($U$7:$U$64)</f>
        <v>#REF!</v>
      </c>
      <c r="DA91" s="194" t="s">
        <v>276</v>
      </c>
      <c r="DB91" s="178" t="e">
        <f>DMIN($A$4:$DD$64,107,$A$106:$A$107)</f>
        <v>#REF!</v>
      </c>
      <c r="DC91" s="178" t="e">
        <f>DMIN($A$4:$DD$64,107,$A$108:$A$109)</f>
        <v>#REF!</v>
      </c>
      <c r="DD91" s="178" t="e">
        <f>DMIN($A$4:$DD$64,107,$A$110:$A$111)</f>
        <v>#REF!</v>
      </c>
      <c r="DE91" s="178" t="e">
        <f>DMIN($A$4:$DD$64,107,$A$112:$A$113)</f>
        <v>#REF!</v>
      </c>
      <c r="DF91" s="201" t="e">
        <f>MIN($DD$7:$DD$64)</f>
        <v>#REF!</v>
      </c>
      <c r="DJ91" s="194"/>
      <c r="DK91" s="178"/>
      <c r="DL91" s="178"/>
      <c r="DM91" s="178"/>
    </row>
    <row r="92" spans="2:140" ht="7.5" customHeight="1" x14ac:dyDescent="0.45">
      <c r="D92" s="194"/>
      <c r="G92" s="194"/>
      <c r="H92" s="194"/>
      <c r="I92" s="178"/>
      <c r="J92" s="178"/>
      <c r="K92" s="178"/>
      <c r="L92" s="178"/>
      <c r="M92" s="178"/>
      <c r="N92" s="201"/>
      <c r="Q92" s="194"/>
      <c r="R92" s="178"/>
      <c r="S92" s="178"/>
      <c r="T92" s="178"/>
      <c r="U92" s="178"/>
      <c r="V92" s="201"/>
      <c r="DJ92" s="194"/>
      <c r="DK92" s="178"/>
      <c r="DL92" s="178"/>
      <c r="DM92" s="178"/>
    </row>
    <row r="93" spans="2:140" ht="15.75" customHeight="1" x14ac:dyDescent="0.45">
      <c r="I93" s="453" t="s">
        <v>406</v>
      </c>
      <c r="J93" s="453"/>
      <c r="K93" s="453"/>
      <c r="L93" s="453"/>
      <c r="M93" s="453"/>
      <c r="N93" s="453"/>
      <c r="AC93" s="453"/>
      <c r="AD93" s="453"/>
      <c r="AE93" s="453"/>
      <c r="AF93" s="453"/>
      <c r="AG93" s="453"/>
      <c r="AH93" s="453"/>
      <c r="AI93" s="453"/>
      <c r="DL93" s="453"/>
      <c r="DM93" s="453"/>
      <c r="EB93" s="179"/>
      <c r="EF93" s="179"/>
      <c r="EJ93" s="179"/>
    </row>
    <row r="94" spans="2:140" x14ac:dyDescent="0.45">
      <c r="B94" s="171"/>
      <c r="C94" s="186"/>
      <c r="D94" s="186"/>
      <c r="F94" s="186"/>
      <c r="G94" s="186"/>
      <c r="H94" s="186"/>
      <c r="I94" s="195"/>
      <c r="J94" s="186" t="s">
        <v>71</v>
      </c>
      <c r="K94" s="186" t="s">
        <v>242</v>
      </c>
      <c r="L94" s="186" t="s">
        <v>243</v>
      </c>
      <c r="M94" s="186" t="s">
        <v>244</v>
      </c>
      <c r="N94" s="186" t="s">
        <v>62</v>
      </c>
      <c r="X94" s="171"/>
      <c r="AB94" s="171"/>
      <c r="AC94" s="186"/>
      <c r="AF94" s="186"/>
      <c r="AG94" s="186"/>
      <c r="AH94" s="186"/>
      <c r="AI94" s="186"/>
      <c r="AJ94" s="171"/>
      <c r="AK94" s="171"/>
      <c r="AL94" s="171"/>
      <c r="AM94" s="171"/>
      <c r="AN94" s="171"/>
      <c r="AO94" s="171"/>
      <c r="AP94" s="171"/>
      <c r="AQ94" s="171"/>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DJ94" s="171"/>
      <c r="DK94" s="186"/>
      <c r="DL94" s="186"/>
      <c r="DM94" s="186"/>
    </row>
    <row r="95" spans="2:140" x14ac:dyDescent="0.45">
      <c r="B95" s="194"/>
      <c r="C95" s="175"/>
      <c r="D95" s="194"/>
      <c r="F95" s="175"/>
      <c r="G95" s="194"/>
      <c r="H95" s="194"/>
      <c r="I95" s="194" t="s">
        <v>407</v>
      </c>
      <c r="J95" s="184" t="str">
        <f>TEXT(COUNTIFS($A$7:$A$64,"1",$K$7:$K$64,"&lt;80%")/J$98,"#0%")&amp;" ("&amp;TEXT(COUNTIFS($A$7:$A$64,"1",$K$7:$K$64,"&lt;80%"),"#0")&amp;")"</f>
        <v>0% (0)</v>
      </c>
      <c r="K95" s="184" t="str">
        <f>TEXT(COUNTIFS($A$7:$A$64,"2",$K$7:$K$64,"&lt;80%")/K$98,"#0%")&amp;" ("&amp;TEXT(COUNTIFS($A$7:$A$64,"2",$K$7:$K$64,"&lt;80%"),"#0")&amp;")"</f>
        <v>0% (0)</v>
      </c>
      <c r="L95" s="184" t="str">
        <f>TEXT(COUNTIFS($A$7:$A$64,"3",$K$7:$K$64,"&lt;80%")/L$98,"#0%")&amp;" ("&amp;TEXT(COUNTIFS($A$7:$A$64,"3",$K$7:$K$64,"&lt;80%"),"#0")&amp;")"</f>
        <v>0% (0)</v>
      </c>
      <c r="M95" s="184" t="str">
        <f>TEXT(COUNTIFS($A$7:$A$64,"4",$K$7:$K$64,"&lt;80%")/M$98,"#0%")&amp;" ("&amp;TEXT(COUNTIFS($A$7:$A$64,"4",$K$7:$K$64,"&lt;80%"),"#0")&amp;")"</f>
        <v>0% (0)</v>
      </c>
      <c r="N95" s="185" t="str">
        <f>TEXT(COUNTIF($K$7:$K$64,"&lt;80%")/N$98,"#0%")&amp;" ("&amp;TEXT(COUNTIF($K$7:$K$64,"&lt;80%"),"#0")&amp;")"</f>
        <v>0% (0)</v>
      </c>
      <c r="X95" s="194"/>
      <c r="AB95" s="194"/>
      <c r="AC95" s="175"/>
      <c r="AF95" s="175"/>
      <c r="AG95" s="175"/>
      <c r="AH95" s="175"/>
      <c r="AI95" s="187"/>
      <c r="AJ95" s="194"/>
      <c r="AK95" s="194"/>
      <c r="AL95" s="194"/>
      <c r="AM95" s="194"/>
      <c r="AN95" s="194"/>
      <c r="AO95" s="194"/>
      <c r="AP95" s="194"/>
      <c r="AQ95" s="194"/>
      <c r="AR95" s="194"/>
      <c r="AS95" s="194"/>
      <c r="AT95" s="194"/>
      <c r="AU95" s="194"/>
      <c r="AV95" s="194"/>
      <c r="AW95" s="194"/>
      <c r="AX95" s="194"/>
      <c r="AY95" s="194"/>
      <c r="AZ95" s="194"/>
      <c r="BA95" s="194"/>
      <c r="BB95" s="194"/>
      <c r="BC95" s="194"/>
      <c r="BD95" s="194"/>
      <c r="BE95" s="194"/>
      <c r="BF95" s="194"/>
      <c r="BG95" s="194"/>
      <c r="BH95" s="194"/>
      <c r="BI95" s="194"/>
      <c r="BJ95" s="194"/>
      <c r="BK95" s="194"/>
      <c r="BL95" s="194"/>
      <c r="BM95" s="194"/>
      <c r="BN95" s="194"/>
      <c r="BO95" s="194"/>
      <c r="BP95" s="194"/>
      <c r="BQ95" s="194"/>
      <c r="BR95" s="194"/>
      <c r="BS95" s="194"/>
      <c r="BT95" s="194"/>
      <c r="BU95" s="194"/>
      <c r="BV95" s="194"/>
      <c r="BW95" s="194"/>
      <c r="BX95" s="194"/>
      <c r="BY95" s="194"/>
      <c r="BZ95" s="194"/>
      <c r="CA95" s="194"/>
      <c r="CB95" s="194"/>
      <c r="CC95" s="194"/>
      <c r="CD95" s="194"/>
      <c r="CE95" s="194"/>
      <c r="CF95" s="194"/>
      <c r="CG95" s="194"/>
      <c r="CH95" s="194"/>
      <c r="CI95" s="194"/>
      <c r="CJ95" s="194"/>
      <c r="CK95" s="194"/>
      <c r="CL95" s="194"/>
      <c r="CM95" s="194"/>
      <c r="CN95" s="194"/>
      <c r="CO95" s="194"/>
      <c r="CP95" s="194"/>
      <c r="CQ95" s="194"/>
      <c r="CR95" s="194"/>
      <c r="CS95" s="194"/>
      <c r="DJ95" s="194"/>
      <c r="DK95" s="184"/>
      <c r="DL95" s="184"/>
      <c r="DM95" s="184"/>
    </row>
    <row r="96" spans="2:140" x14ac:dyDescent="0.45">
      <c r="B96" s="194"/>
      <c r="C96" s="175"/>
      <c r="D96" s="194"/>
      <c r="F96" s="175"/>
      <c r="G96" s="194"/>
      <c r="H96" s="194"/>
      <c r="I96" s="194" t="s">
        <v>408</v>
      </c>
      <c r="J96" s="184" t="str">
        <f>TEXT(COUNTIFS($A$7:$A$64,"1",$K$7:$K$64,"&gt;=80%",$K$7:$K$64,"&lt;=110%")/J$98,"#0%")&amp;" ("&amp;TEXT(COUNTIFS($A$7:$A$64,"1",$K$7:$K$64,"&gt;=80%",$K$7:$K$64,"&lt;=110%"),"#0")&amp;")"</f>
        <v>0% (0)</v>
      </c>
      <c r="K96" s="184" t="str">
        <f>TEXT(COUNTIFS($A$7:$A$64,"2",$K$7:$K$64,"&gt;=80%",$K$7:$K$64,"&lt;=110%")/K$98,"#0%")&amp;" ("&amp;TEXT(COUNTIFS($A$7:$A$64,"2",$K$7:$K$64,"&gt;=80%",$K$7:$K$64,"&lt;=110%"),"#0")&amp;")"</f>
        <v>0% (0)</v>
      </c>
      <c r="L96" s="184" t="str">
        <f>TEXT(COUNTIFS($A$7:$A$64,"3",$K$7:$K$64,"&gt;=80%",$K$7:$K$64,"&lt;=110%")/L$98,"#0%")&amp;" ("&amp;TEXT(COUNTIFS($A$7:$A$64,"3",$K$7:$K$64,"&gt;=80%",$K$7:$K$64,"&lt;=110%"),"#0")&amp;")"</f>
        <v>0% (0)</v>
      </c>
      <c r="M96" s="184" t="str">
        <f>TEXT(COUNTIFS($A$7:$A$64,"4",$K$7:$K$64,"&gt;=80%",$K$7:$K$64,"&lt;=110%")/M$98,"#0%")&amp;" ("&amp;TEXT(COUNTIFS($A$7:$A$64,"4",$K$7:$K$64,"&gt;=80%",$K$7:$K$64,"&lt;=110%"),"#0")&amp;")"</f>
        <v>0% (0)</v>
      </c>
      <c r="N96" s="185" t="str">
        <f>TEXT(COUNTIFS($K$7:$K$64,"&gt;=80%",$K$7:$K$64,"&lt;=110%")/N$85,"#0%")&amp;" ("&amp;TEXT(COUNTIFS($K$7:$K$64,"&gt;=80%",$K$7:$K$64,"&lt;=110%"),"#0")&amp;")"</f>
        <v>0% (0)</v>
      </c>
      <c r="X96" s="194"/>
      <c r="AB96" s="194"/>
      <c r="AC96" s="175"/>
      <c r="AF96" s="175"/>
      <c r="AG96" s="175"/>
      <c r="AH96" s="175"/>
      <c r="AI96" s="187"/>
      <c r="AJ96" s="194"/>
      <c r="AK96" s="194"/>
      <c r="AL96" s="194"/>
      <c r="AM96" s="194"/>
      <c r="AN96" s="194"/>
      <c r="AO96" s="194"/>
      <c r="AP96" s="194"/>
      <c r="AQ96" s="194"/>
      <c r="AR96" s="194"/>
      <c r="AS96" s="194"/>
      <c r="AT96" s="194"/>
      <c r="AU96" s="194"/>
      <c r="AV96" s="194"/>
      <c r="AW96" s="194"/>
      <c r="AX96" s="194"/>
      <c r="AY96" s="194"/>
      <c r="AZ96" s="194"/>
      <c r="BA96" s="194"/>
      <c r="BB96" s="194"/>
      <c r="BC96" s="194"/>
      <c r="BD96" s="194"/>
      <c r="BE96" s="194"/>
      <c r="BF96" s="194"/>
      <c r="BG96" s="194"/>
      <c r="BH96" s="194"/>
      <c r="BI96" s="194"/>
      <c r="BJ96" s="194"/>
      <c r="BK96" s="194"/>
      <c r="BL96" s="194"/>
      <c r="BM96" s="194"/>
      <c r="BN96" s="194"/>
      <c r="BO96" s="194"/>
      <c r="BP96" s="194"/>
      <c r="BQ96" s="194"/>
      <c r="BR96" s="194"/>
      <c r="BS96" s="194"/>
      <c r="BT96" s="194"/>
      <c r="BU96" s="194"/>
      <c r="BV96" s="194"/>
      <c r="BW96" s="194"/>
      <c r="BX96" s="194"/>
      <c r="BY96" s="194"/>
      <c r="BZ96" s="194"/>
      <c r="CA96" s="194"/>
      <c r="CB96" s="194"/>
      <c r="CC96" s="194"/>
      <c r="CD96" s="194"/>
      <c r="CE96" s="194"/>
      <c r="CF96" s="194"/>
      <c r="CG96" s="194"/>
      <c r="CH96" s="194"/>
      <c r="CI96" s="194"/>
      <c r="CJ96" s="194"/>
      <c r="CK96" s="194"/>
      <c r="CL96" s="194"/>
      <c r="CM96" s="194"/>
      <c r="CN96" s="194"/>
      <c r="CO96" s="194"/>
      <c r="CP96" s="194"/>
      <c r="CQ96" s="194"/>
      <c r="CR96" s="194"/>
      <c r="CS96" s="194"/>
      <c r="DJ96" s="194"/>
      <c r="DK96" s="184"/>
      <c r="DL96" s="184"/>
      <c r="DM96" s="184"/>
    </row>
    <row r="97" spans="1:117" x14ac:dyDescent="0.45">
      <c r="B97" s="194"/>
      <c r="C97" s="175"/>
      <c r="D97" s="194"/>
      <c r="F97" s="175"/>
      <c r="G97" s="194"/>
      <c r="H97" s="194"/>
      <c r="I97" s="194" t="s">
        <v>409</v>
      </c>
      <c r="J97" s="184" t="str">
        <f>TEXT(COUNTIFS($A$7:$A$64,"1",$K$7:$K$64,"&gt;110%")/J$98,"#0%")&amp;" ("&amp;TEXT(COUNTIFS($A$7:$A$64,"1",$K$7:$K$64,"&gt;110%"),"#0")&amp;")"</f>
        <v>0% (0)</v>
      </c>
      <c r="K97" s="184" t="str">
        <f>TEXT(COUNTIFS($A$7:$A$64,"2",$K$7:$K$64,"&gt;110%")/K$98,"#0%")&amp;" ("&amp;TEXT(COUNTIFS($A$7:$A$64,"2",$K$7:$K$64,"&gt;110%"),"#0")&amp;")"</f>
        <v>0% (0)</v>
      </c>
      <c r="L97" s="184" t="str">
        <f>TEXT(COUNTIFS($A$7:$A$64,"3",$K$7:$K$64,"&gt;110%")/L$98,"#0%")&amp;" ("&amp;TEXT(COUNTIFS($A$7:$A$64,"3",$K$7:$K$64,"&gt;110%"),"#0")&amp;")"</f>
        <v>0% (0)</v>
      </c>
      <c r="M97" s="184" t="str">
        <f>TEXT(COUNTIFS($A$7:$A$64,"4",$K$7:$K$64,"&gt;110%")/M$98,"#0%")&amp;" ("&amp;TEXT(COUNTIFS($A$7:$A$64,"4",$K$7:$K$64,"&gt;110%"),"#0")&amp;")"</f>
        <v>0% (0)</v>
      </c>
      <c r="N97" s="185" t="str">
        <f>TEXT(COUNTIF($K$7:$K$64,"&gt;110%")/N$98,"#0%")&amp;" ("&amp;TEXT(COUNTIF($K$7:$K$64,"&gt;110%"),"#0")&amp;")"</f>
        <v>0% (0)</v>
      </c>
      <c r="X97" s="194"/>
      <c r="AB97" s="194"/>
      <c r="AC97" s="175"/>
      <c r="AF97" s="175"/>
      <c r="AG97" s="175"/>
      <c r="AH97" s="175"/>
      <c r="AI97" s="187"/>
      <c r="AJ97" s="194"/>
      <c r="AK97" s="194"/>
      <c r="AL97" s="194"/>
      <c r="AM97" s="194"/>
      <c r="AN97" s="194"/>
      <c r="AO97" s="194"/>
      <c r="AP97" s="194"/>
      <c r="AQ97" s="194"/>
      <c r="AR97" s="194"/>
      <c r="AS97" s="194"/>
      <c r="AT97" s="194"/>
      <c r="AU97" s="194"/>
      <c r="AV97" s="194"/>
      <c r="AW97" s="194"/>
      <c r="AX97" s="194"/>
      <c r="AY97" s="194"/>
      <c r="AZ97" s="194"/>
      <c r="BA97" s="194"/>
      <c r="BB97" s="194"/>
      <c r="BC97" s="194"/>
      <c r="BD97" s="194"/>
      <c r="BE97" s="194"/>
      <c r="BF97" s="194"/>
      <c r="BG97" s="194"/>
      <c r="BH97" s="194"/>
      <c r="BI97" s="194"/>
      <c r="BJ97" s="194"/>
      <c r="BK97" s="194"/>
      <c r="BL97" s="194"/>
      <c r="BM97" s="194"/>
      <c r="BN97" s="194"/>
      <c r="BO97" s="194"/>
      <c r="BP97" s="194"/>
      <c r="BQ97" s="194"/>
      <c r="BR97" s="194"/>
      <c r="BS97" s="194"/>
      <c r="BT97" s="194"/>
      <c r="BU97" s="194"/>
      <c r="BV97" s="194"/>
      <c r="BW97" s="194"/>
      <c r="BX97" s="194"/>
      <c r="BY97" s="194"/>
      <c r="BZ97" s="194"/>
      <c r="CA97" s="194"/>
      <c r="CB97" s="194"/>
      <c r="CC97" s="194"/>
      <c r="CD97" s="194"/>
      <c r="CE97" s="194"/>
      <c r="CF97" s="194"/>
      <c r="CG97" s="194"/>
      <c r="CH97" s="194"/>
      <c r="CI97" s="194"/>
      <c r="CJ97" s="194"/>
      <c r="CK97" s="194"/>
      <c r="CL97" s="194"/>
      <c r="CM97" s="194"/>
      <c r="CN97" s="194"/>
      <c r="CO97" s="194"/>
      <c r="CP97" s="194"/>
      <c r="CQ97" s="194"/>
      <c r="CR97" s="194"/>
      <c r="CS97" s="194"/>
      <c r="DJ97" s="194"/>
      <c r="DK97" s="184"/>
      <c r="DL97" s="184"/>
      <c r="DM97" s="184"/>
    </row>
    <row r="98" spans="1:117" x14ac:dyDescent="0.45">
      <c r="B98" s="194"/>
      <c r="C98" s="187"/>
      <c r="D98" s="194"/>
      <c r="F98" s="187"/>
      <c r="G98" s="194"/>
      <c r="H98" s="194"/>
      <c r="I98" s="194" t="s">
        <v>0</v>
      </c>
      <c r="J98" s="187">
        <v>15</v>
      </c>
      <c r="K98" s="187">
        <v>22</v>
      </c>
      <c r="L98" s="187">
        <v>12</v>
      </c>
      <c r="M98" s="187">
        <v>9</v>
      </c>
      <c r="N98" s="187">
        <v>58</v>
      </c>
      <c r="X98" s="194"/>
      <c r="AB98" s="194"/>
      <c r="AC98" s="187"/>
      <c r="AF98" s="187"/>
      <c r="AG98" s="187"/>
      <c r="AH98" s="187"/>
      <c r="AI98" s="187"/>
      <c r="AJ98" s="194"/>
      <c r="AK98" s="194"/>
      <c r="AL98" s="194"/>
      <c r="AM98" s="194"/>
      <c r="AN98" s="194"/>
      <c r="AO98" s="194"/>
      <c r="AP98" s="194"/>
      <c r="AQ98" s="194"/>
      <c r="AR98" s="194"/>
      <c r="AS98" s="194"/>
      <c r="AT98" s="194"/>
      <c r="AU98" s="194"/>
      <c r="AV98" s="194"/>
      <c r="AW98" s="194"/>
      <c r="AX98" s="194"/>
      <c r="AY98" s="194"/>
      <c r="AZ98" s="194"/>
      <c r="BA98" s="194"/>
      <c r="BB98" s="194"/>
      <c r="BC98" s="194"/>
      <c r="BD98" s="194"/>
      <c r="BE98" s="194"/>
      <c r="BF98" s="194"/>
      <c r="BG98" s="194"/>
      <c r="BH98" s="194"/>
      <c r="BI98" s="194"/>
      <c r="BJ98" s="194"/>
      <c r="BK98" s="194"/>
      <c r="BL98" s="194"/>
      <c r="BM98" s="194"/>
      <c r="BN98" s="194"/>
      <c r="BO98" s="194"/>
      <c r="BP98" s="194"/>
      <c r="BQ98" s="194"/>
      <c r="BR98" s="194"/>
      <c r="BS98" s="194"/>
      <c r="BT98" s="194"/>
      <c r="BU98" s="194"/>
      <c r="BV98" s="194"/>
      <c r="BW98" s="194"/>
      <c r="BX98" s="194"/>
      <c r="BY98" s="194"/>
      <c r="BZ98" s="194"/>
      <c r="CA98" s="194"/>
      <c r="CB98" s="194"/>
      <c r="CC98" s="194"/>
      <c r="CD98" s="194"/>
      <c r="CE98" s="194"/>
      <c r="CF98" s="194"/>
      <c r="CG98" s="194"/>
      <c r="CH98" s="194"/>
      <c r="CI98" s="194"/>
      <c r="CJ98" s="194"/>
      <c r="CK98" s="194"/>
      <c r="CL98" s="194"/>
      <c r="CM98" s="194"/>
      <c r="CN98" s="194"/>
      <c r="CO98" s="194"/>
      <c r="CP98" s="194"/>
      <c r="CQ98" s="194"/>
      <c r="CR98" s="194"/>
      <c r="CS98" s="194"/>
      <c r="DJ98" s="194"/>
      <c r="DK98" s="187"/>
      <c r="DL98" s="187"/>
      <c r="DM98" s="187"/>
    </row>
    <row r="106" spans="1:117" hidden="1" x14ac:dyDescent="0.45">
      <c r="A106" s="48" t="s">
        <v>72</v>
      </c>
    </row>
    <row r="107" spans="1:117" hidden="1" x14ac:dyDescent="0.45">
      <c r="A107" s="48">
        <v>1</v>
      </c>
    </row>
    <row r="108" spans="1:117" hidden="1" x14ac:dyDescent="0.45">
      <c r="A108" s="48" t="s">
        <v>72</v>
      </c>
    </row>
    <row r="109" spans="1:117" hidden="1" x14ac:dyDescent="0.45">
      <c r="A109" s="48">
        <v>2</v>
      </c>
    </row>
    <row r="110" spans="1:117" hidden="1" x14ac:dyDescent="0.45">
      <c r="A110" s="48" t="s">
        <v>72</v>
      </c>
    </row>
    <row r="111" spans="1:117" hidden="1" x14ac:dyDescent="0.45">
      <c r="A111" s="48">
        <v>3</v>
      </c>
    </row>
    <row r="112" spans="1:117" hidden="1" x14ac:dyDescent="0.45">
      <c r="A112" s="48" t="s">
        <v>72</v>
      </c>
    </row>
    <row r="113" spans="1:1" hidden="1" x14ac:dyDescent="0.45">
      <c r="A113" s="48">
        <v>4</v>
      </c>
    </row>
  </sheetData>
  <mergeCells count="57">
    <mergeCell ref="GY3:HA3"/>
    <mergeCell ref="CM67:CQ67"/>
    <mergeCell ref="CM74:CQ74"/>
    <mergeCell ref="CM80:CQ80"/>
    <mergeCell ref="F3:N3"/>
    <mergeCell ref="Y3:AI3"/>
    <mergeCell ref="CC80:CG80"/>
    <mergeCell ref="BS67:BW67"/>
    <mergeCell ref="BS74:BW74"/>
    <mergeCell ref="CC67:CG67"/>
    <mergeCell ref="CC74:CG74"/>
    <mergeCell ref="GR3:GW3"/>
    <mergeCell ref="P3:V3"/>
    <mergeCell ref="BQ3:BY3"/>
    <mergeCell ref="CK3:CS3"/>
    <mergeCell ref="CA3:CI3"/>
    <mergeCell ref="AC93:AI93"/>
    <mergeCell ref="AC80:AI80"/>
    <mergeCell ref="I87:N87"/>
    <mergeCell ref="I80:N80"/>
    <mergeCell ref="I67:N67"/>
    <mergeCell ref="R80:V80"/>
    <mergeCell ref="R67:V67"/>
    <mergeCell ref="I74:N74"/>
    <mergeCell ref="R87:V87"/>
    <mergeCell ref="R74:V74"/>
    <mergeCell ref="AE67:AI67"/>
    <mergeCell ref="AE74:AI74"/>
    <mergeCell ref="I93:N93"/>
    <mergeCell ref="DL93:DM93"/>
    <mergeCell ref="DL67:DM67"/>
    <mergeCell ref="DL74:DM74"/>
    <mergeCell ref="DL80:DM80"/>
    <mergeCell ref="DL87:DM87"/>
    <mergeCell ref="DB80:DF80"/>
    <mergeCell ref="DB87:DF87"/>
    <mergeCell ref="AJ3:AU3"/>
    <mergeCell ref="AW3:BE3"/>
    <mergeCell ref="AO67:AS67"/>
    <mergeCell ref="AO74:AS74"/>
    <mergeCell ref="AY67:BC67"/>
    <mergeCell ref="AY74:BC74"/>
    <mergeCell ref="AO80:AS80"/>
    <mergeCell ref="AY80:BC80"/>
    <mergeCell ref="BS80:BW80"/>
    <mergeCell ref="BI67:BM67"/>
    <mergeCell ref="BI74:BM74"/>
    <mergeCell ref="BI80:BM80"/>
    <mergeCell ref="CU3:DF3"/>
    <mergeCell ref="BG3:BO3"/>
    <mergeCell ref="GA3:GG3"/>
    <mergeCell ref="GI3:GP3"/>
    <mergeCell ref="EP3:FY3"/>
    <mergeCell ref="DB67:DF67"/>
    <mergeCell ref="DB74:DF74"/>
    <mergeCell ref="DO3:EN3"/>
    <mergeCell ref="DH3:DM3"/>
  </mergeCells>
  <conditionalFormatting sqref="GR3 GR5:GS6 HA5:HA6 GI3 DO3 EP3 GA3 CU3 CU4:DF6 ER4:ES6 DH5:DJ5 CC5 CM5 BI5 AY5 P5:Q5 Y5:AB5 F3 C3 C4:D6 BS5 DO4:ED6 F4:N6 GU5:GW6 GA4:GG6 GI4:GP6 EI4:EN6 EV4:FU6">
    <cfRule type="containsText" dxfId="29" priority="101" operator="containsText" text="Yes">
      <formula>NOT(ISERROR(SEARCH("Yes",C3)))</formula>
    </cfRule>
  </conditionalFormatting>
  <conditionalFormatting sqref="N7:N64">
    <cfRule type="cellIs" dxfId="28" priority="78" operator="greaterThan">
      <formula>0.051</formula>
    </cfRule>
    <cfRule type="cellIs" dxfId="27" priority="79" operator="lessThan">
      <formula>-0.051</formula>
    </cfRule>
  </conditionalFormatting>
  <conditionalFormatting sqref="DC7:DF64 AU7:AU64 BE7:BE64">
    <cfRule type="cellIs" dxfId="26" priority="67" operator="lessThan">
      <formula>-0.1</formula>
    </cfRule>
    <cfRule type="cellIs" dxfId="25" priority="68" operator="greaterThan">
      <formula>0.1</formula>
    </cfRule>
  </conditionalFormatting>
  <conditionalFormatting sqref="U7:V64">
    <cfRule type="cellIs" dxfId="24" priority="76" operator="greaterThan">
      <formula>0.05</formula>
    </cfRule>
    <cfRule type="cellIs" dxfId="23" priority="77" operator="lessThan">
      <formula>-0.05</formula>
    </cfRule>
  </conditionalFormatting>
  <conditionalFormatting sqref="AH7:AH64">
    <cfRule type="cellIs" dxfId="22" priority="57" operator="lessThan">
      <formula>(95%*(100%+$AH$65))-1</formula>
    </cfRule>
    <cfRule type="cellIs" dxfId="21" priority="58" operator="greaterThan">
      <formula>(105%*(100%+$AH$65))-1</formula>
    </cfRule>
  </conditionalFormatting>
  <conditionalFormatting sqref="AC7:AC64">
    <cfRule type="cellIs" dxfId="20" priority="54" operator="lessThan">
      <formula>$AC$66</formula>
    </cfRule>
  </conditionalFormatting>
  <conditionalFormatting sqref="Y7:Y64">
    <cfRule type="cellIs" dxfId="19" priority="30" operator="lessThan">
      <formula>$Y$66</formula>
    </cfRule>
  </conditionalFormatting>
  <conditionalFormatting sqref="CI7:CI64 CS7:CS64 BO7:BO64 AI7:AI64 M7:M64 AM7:AM64 BY7:BY64">
    <cfRule type="cellIs" dxfId="18" priority="55" operator="lessThan">
      <formula>-0.05</formula>
    </cfRule>
    <cfRule type="cellIs" dxfId="17" priority="56" operator="greaterThan">
      <formula>0.05</formula>
    </cfRule>
  </conditionalFormatting>
  <conditionalFormatting sqref="CM7:CM64">
    <cfRule type="expression" dxfId="16" priority="175">
      <formula>$CM7=$BS7</formula>
    </cfRule>
  </conditionalFormatting>
  <conditionalFormatting sqref="CD7:CD64">
    <cfRule type="expression" dxfId="15" priority="176">
      <formula>$CD7=$BJ7</formula>
    </cfRule>
  </conditionalFormatting>
  <conditionalFormatting sqref="GY5:GZ6 GY3">
    <cfRule type="containsText" dxfId="14" priority="23" operator="containsText" text="Yes">
      <formula>NOT(ISERROR(SEARCH("Yes",GY3)))</formula>
    </cfRule>
  </conditionalFormatting>
  <conditionalFormatting sqref="GZ5:GZ6">
    <cfRule type="containsText" dxfId="13" priority="22" operator="containsText" text="Yes">
      <formula>NOT(ISERROR(SEARCH("Yes",GZ5)))</formula>
    </cfRule>
  </conditionalFormatting>
  <conditionalFormatting sqref="GY5">
    <cfRule type="containsText" dxfId="12" priority="21" operator="containsText" text="Yes">
      <formula>NOT(ISERROR(SEARCH("Yes",GY5)))</formula>
    </cfRule>
  </conditionalFormatting>
  <conditionalFormatting sqref="FV4:FY6">
    <cfRule type="containsText" dxfId="11" priority="20" operator="containsText" text="Yes">
      <formula>NOT(ISERROR(SEARCH("Yes",FV4)))</formula>
    </cfRule>
  </conditionalFormatting>
  <conditionalFormatting sqref="GT5:GT6">
    <cfRule type="containsText" dxfId="10" priority="19" operator="containsText" text="Yes">
      <formula>NOT(ISERROR(SEARCH("Yes",GT5)))</formula>
    </cfRule>
  </conditionalFormatting>
  <conditionalFormatting sqref="EE4:EH6">
    <cfRule type="containsText" dxfId="9" priority="14" operator="containsText" text="Yes">
      <formula>NOT(ISERROR(SEARCH("Yes",EE4)))</formula>
    </cfRule>
  </conditionalFormatting>
  <conditionalFormatting sqref="EP4:EP6">
    <cfRule type="containsText" dxfId="8" priority="8" operator="containsText" text="Yes">
      <formula>NOT(ISERROR(SEARCH("Yes",EP4)))</formula>
    </cfRule>
  </conditionalFormatting>
  <conditionalFormatting sqref="EQ4:EQ6">
    <cfRule type="containsText" dxfId="7" priority="7" operator="containsText" text="Yes">
      <formula>NOT(ISERROR(SEARCH("Yes",EQ4)))</formula>
    </cfRule>
  </conditionalFormatting>
  <conditionalFormatting sqref="ET4:EU6">
    <cfRule type="containsText" dxfId="6" priority="6" operator="containsText" text="Yes">
      <formula>NOT(ISERROR(SEARCH("Yes",ET4)))</formula>
    </cfRule>
  </conditionalFormatting>
  <conditionalFormatting sqref="GR4:GS4 GU4:GW4">
    <cfRule type="containsText" dxfId="5" priority="5" operator="containsText" text="Yes">
      <formula>NOT(ISERROR(SEARCH("Yes",GR4)))</formula>
    </cfRule>
  </conditionalFormatting>
  <conditionalFormatting sqref="GT4">
    <cfRule type="containsText" dxfId="4" priority="4" operator="containsText" text="Yes">
      <formula>NOT(ISERROR(SEARCH("Yes",GT4)))</formula>
    </cfRule>
  </conditionalFormatting>
  <conditionalFormatting sqref="HA4">
    <cfRule type="containsText" dxfId="3" priority="3" operator="containsText" text="Yes">
      <formula>NOT(ISERROR(SEARCH("Yes",HA4)))</formula>
    </cfRule>
  </conditionalFormatting>
  <conditionalFormatting sqref="GY4:GZ4">
    <cfRule type="containsText" dxfId="2" priority="2" operator="containsText" text="Yes">
      <formula>NOT(ISERROR(SEARCH("Yes",GY4)))</formula>
    </cfRule>
  </conditionalFormatting>
  <conditionalFormatting sqref="GZ4">
    <cfRule type="containsText" dxfId="1" priority="1" operator="containsText" text="Yes">
      <formula>NOT(ISERROR(SEARCH("Yes",GZ4)))</formula>
    </cfRule>
  </conditionalFormatting>
  <printOptions horizontalCentered="1"/>
  <pageMargins left="0.26" right="0.2" top="0.56999999999999995" bottom="0.37" header="0.3" footer="0.24"/>
  <pageSetup scale="70" orientation="landscape" r:id="rId1"/>
  <headerFooter>
    <oddHeader xml:space="preserve">&amp;C&amp;"-,Bold"&amp;14Detail and Comparison of Changes in WAFM Need and Components by Court and Cluster&amp;R&amp;"-,Bold"&amp;14 </oddHeader>
  </headerFooter>
  <colBreaks count="4" manualBreakCount="4">
    <brk id="15" min="2" max="90" man="1"/>
    <brk id="24" min="2" max="90" man="1"/>
    <brk id="98" min="2" max="90" man="1"/>
    <brk id="111" min="2" max="90"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7030A0"/>
  </sheetPr>
  <dimension ref="A1:E66"/>
  <sheetViews>
    <sheetView workbookViewId="0">
      <pane xSplit="1" ySplit="4" topLeftCell="B41" activePane="bottomRight" state="frozen"/>
      <selection activeCell="DX70" sqref="DX70"/>
      <selection pane="topRight" activeCell="DX70" sqref="DX70"/>
      <selection pane="bottomLeft" activeCell="DX70" sqref="DX70"/>
      <selection pane="bottomRight" activeCell="DX70" sqref="DX70"/>
    </sheetView>
  </sheetViews>
  <sheetFormatPr defaultColWidth="9.1328125" defaultRowHeight="15.4" x14ac:dyDescent="0.45"/>
  <cols>
    <col min="1" max="1" width="20.86328125" style="134" customWidth="1"/>
    <col min="2" max="2" width="14.3984375" style="134" customWidth="1"/>
    <col min="3" max="3" width="12.3984375" style="134" customWidth="1"/>
    <col min="4" max="4" width="15.59765625" style="134" customWidth="1"/>
    <col min="5" max="5" width="11.3984375" style="134" bestFit="1" customWidth="1"/>
    <col min="6" max="16384" width="9.1328125" style="134"/>
  </cols>
  <sheetData>
    <row r="1" spans="1:5" ht="57.75" customHeight="1" x14ac:dyDescent="0.45">
      <c r="A1" s="454" t="s">
        <v>138</v>
      </c>
      <c r="B1" s="454"/>
      <c r="C1" s="454"/>
      <c r="D1" s="454"/>
    </row>
    <row r="3" spans="1:5" x14ac:dyDescent="0.45">
      <c r="A3" s="168" t="s">
        <v>471</v>
      </c>
    </row>
    <row r="4" spans="1:5" ht="45.4" x14ac:dyDescent="0.45">
      <c r="A4" s="135" t="s">
        <v>63</v>
      </c>
      <c r="B4" s="135" t="s">
        <v>179</v>
      </c>
      <c r="C4" s="135" t="s">
        <v>180</v>
      </c>
      <c r="D4" s="135" t="s">
        <v>181</v>
      </c>
    </row>
    <row r="5" spans="1:5" x14ac:dyDescent="0.45">
      <c r="A5" s="136" t="s">
        <v>53</v>
      </c>
      <c r="B5" s="137">
        <v>42594758.939000107</v>
      </c>
      <c r="C5" s="137">
        <v>580.52000000000032</v>
      </c>
      <c r="D5" s="137">
        <f>B5/C5</f>
        <v>73373.456451112943</v>
      </c>
      <c r="E5" s="138"/>
    </row>
    <row r="6" spans="1:5" x14ac:dyDescent="0.45">
      <c r="A6" s="136" t="s">
        <v>4</v>
      </c>
      <c r="B6" s="137">
        <v>141441.79999999999</v>
      </c>
      <c r="C6" s="137">
        <v>2.2000000000000002</v>
      </c>
      <c r="D6" s="137">
        <f t="shared" ref="D6:D62" si="0">B6/C6</f>
        <v>64291.727272727265</v>
      </c>
      <c r="E6" s="138"/>
    </row>
    <row r="7" spans="1:5" x14ac:dyDescent="0.45">
      <c r="A7" s="136" t="s">
        <v>5</v>
      </c>
      <c r="B7" s="137">
        <v>1221120.7799999998</v>
      </c>
      <c r="C7" s="137">
        <v>24.3</v>
      </c>
      <c r="D7" s="137">
        <f t="shared" si="0"/>
        <v>50251.883950617274</v>
      </c>
      <c r="E7" s="138"/>
    </row>
    <row r="8" spans="1:5" x14ac:dyDescent="0.45">
      <c r="A8" s="136" t="s">
        <v>19</v>
      </c>
      <c r="B8" s="137">
        <v>5038621.8800000008</v>
      </c>
      <c r="C8" s="137">
        <v>100.30999999999996</v>
      </c>
      <c r="D8" s="137">
        <f t="shared" si="0"/>
        <v>50230.504236865745</v>
      </c>
      <c r="E8" s="138"/>
    </row>
    <row r="9" spans="1:5" x14ac:dyDescent="0.45">
      <c r="A9" s="136" t="s">
        <v>6</v>
      </c>
      <c r="B9" s="137">
        <v>1261992.8000000003</v>
      </c>
      <c r="C9" s="137">
        <v>22.499999999999996</v>
      </c>
      <c r="D9" s="137">
        <f t="shared" si="0"/>
        <v>56088.568888888913</v>
      </c>
      <c r="E9" s="138"/>
    </row>
    <row r="10" spans="1:5" x14ac:dyDescent="0.45">
      <c r="A10" s="136" t="s">
        <v>7</v>
      </c>
      <c r="B10" s="137">
        <v>528503.76900000009</v>
      </c>
      <c r="C10" s="137">
        <v>11.9</v>
      </c>
      <c r="D10" s="137">
        <f t="shared" si="0"/>
        <v>44412.081428571437</v>
      </c>
      <c r="E10" s="138"/>
    </row>
    <row r="11" spans="1:5" x14ac:dyDescent="0.45">
      <c r="A11" s="136" t="s">
        <v>41</v>
      </c>
      <c r="B11" s="137">
        <v>21978794.359299984</v>
      </c>
      <c r="C11" s="137">
        <v>305.18000000000006</v>
      </c>
      <c r="D11" s="137">
        <f t="shared" si="0"/>
        <v>72019.117764270195</v>
      </c>
      <c r="E11" s="138"/>
    </row>
    <row r="12" spans="1:5" x14ac:dyDescent="0.45">
      <c r="A12" s="136" t="s">
        <v>8</v>
      </c>
      <c r="B12" s="137">
        <v>1391096.4210500002</v>
      </c>
      <c r="C12" s="137">
        <v>22.349999999999998</v>
      </c>
      <c r="D12" s="137">
        <f t="shared" si="0"/>
        <v>62241.450606263999</v>
      </c>
      <c r="E12" s="138"/>
    </row>
    <row r="13" spans="1:5" x14ac:dyDescent="0.45">
      <c r="A13" s="136" t="s">
        <v>20</v>
      </c>
      <c r="B13" s="137">
        <v>4355184.4945714287</v>
      </c>
      <c r="C13" s="137">
        <v>71.100000000000009</v>
      </c>
      <c r="D13" s="137">
        <f t="shared" si="0"/>
        <v>61254.352947558764</v>
      </c>
      <c r="E13" s="138"/>
    </row>
    <row r="14" spans="1:5" x14ac:dyDescent="0.45">
      <c r="A14" s="136" t="s">
        <v>42</v>
      </c>
      <c r="B14" s="137">
        <v>26066515.496393789</v>
      </c>
      <c r="C14" s="137">
        <v>498.15000000000003</v>
      </c>
      <c r="D14" s="137">
        <f t="shared" si="0"/>
        <v>52326.639559156451</v>
      </c>
      <c r="E14" s="138"/>
    </row>
    <row r="15" spans="1:5" x14ac:dyDescent="0.45">
      <c r="A15" s="136" t="s">
        <v>9</v>
      </c>
      <c r="B15" s="137">
        <v>871386.53250000044</v>
      </c>
      <c r="C15" s="137">
        <v>16.000000000000004</v>
      </c>
      <c r="D15" s="137">
        <f t="shared" si="0"/>
        <v>54461.658281250013</v>
      </c>
      <c r="E15" s="138"/>
    </row>
    <row r="16" spans="1:5" x14ac:dyDescent="0.45">
      <c r="A16" s="136" t="s">
        <v>21</v>
      </c>
      <c r="B16" s="137">
        <v>3974340.6450770907</v>
      </c>
      <c r="C16" s="137">
        <v>82.850000000000023</v>
      </c>
      <c r="D16" s="137">
        <f t="shared" si="0"/>
        <v>47970.315571238258</v>
      </c>
      <c r="E16" s="138"/>
    </row>
    <row r="17" spans="1:5" x14ac:dyDescent="0.45">
      <c r="A17" s="136" t="s">
        <v>22</v>
      </c>
      <c r="B17" s="137">
        <v>5698335.0024150666</v>
      </c>
      <c r="C17" s="137">
        <v>128.07999999999998</v>
      </c>
      <c r="D17" s="137">
        <f t="shared" si="0"/>
        <v>44490.435684065174</v>
      </c>
      <c r="E17" s="138"/>
    </row>
    <row r="18" spans="1:5" x14ac:dyDescent="0.45">
      <c r="A18" s="136" t="s">
        <v>10</v>
      </c>
      <c r="B18" s="137">
        <v>701855.5135999996</v>
      </c>
      <c r="C18" s="137">
        <v>13.730000000000002</v>
      </c>
      <c r="D18" s="137">
        <f t="shared" si="0"/>
        <v>51118.391376547668</v>
      </c>
      <c r="E18" s="138"/>
    </row>
    <row r="19" spans="1:5" x14ac:dyDescent="0.45">
      <c r="A19" s="136" t="s">
        <v>43</v>
      </c>
      <c r="B19" s="137">
        <v>23093265.239999976</v>
      </c>
      <c r="C19" s="137">
        <v>401</v>
      </c>
      <c r="D19" s="137">
        <f t="shared" si="0"/>
        <v>57589.190124688219</v>
      </c>
      <c r="E19" s="138"/>
    </row>
    <row r="20" spans="1:5" x14ac:dyDescent="0.45">
      <c r="A20" s="136" t="s">
        <v>23</v>
      </c>
      <c r="B20" s="137">
        <v>3647640</v>
      </c>
      <c r="C20" s="137">
        <v>74</v>
      </c>
      <c r="D20" s="137">
        <f t="shared" si="0"/>
        <v>49292.432432432433</v>
      </c>
      <c r="E20" s="138"/>
    </row>
    <row r="21" spans="1:5" x14ac:dyDescent="0.45">
      <c r="A21" s="136" t="s">
        <v>24</v>
      </c>
      <c r="B21" s="137">
        <v>1540205.6500000004</v>
      </c>
      <c r="C21" s="137">
        <v>28.5</v>
      </c>
      <c r="D21" s="137">
        <f t="shared" si="0"/>
        <v>54042.30350877194</v>
      </c>
      <c r="E21" s="138"/>
    </row>
    <row r="22" spans="1:5" x14ac:dyDescent="0.45">
      <c r="A22" s="136" t="s">
        <v>11</v>
      </c>
      <c r="B22" s="137">
        <v>1003443.3499999997</v>
      </c>
      <c r="C22" s="137">
        <v>19</v>
      </c>
      <c r="D22" s="137">
        <f t="shared" si="0"/>
        <v>52812.807894736827</v>
      </c>
      <c r="E22" s="138"/>
    </row>
    <row r="23" spans="1:5" x14ac:dyDescent="0.45">
      <c r="A23" s="136" t="s">
        <v>54</v>
      </c>
      <c r="B23" s="137">
        <v>264327015</v>
      </c>
      <c r="C23" s="137">
        <v>3894</v>
      </c>
      <c r="D23" s="137">
        <f t="shared" si="0"/>
        <v>67880.589368258865</v>
      </c>
      <c r="E23" s="138"/>
    </row>
    <row r="24" spans="1:5" x14ac:dyDescent="0.45">
      <c r="A24" s="136" t="s">
        <v>25</v>
      </c>
      <c r="B24" s="137">
        <v>4573637.1500000004</v>
      </c>
      <c r="C24" s="137">
        <v>92.599999999999952</v>
      </c>
      <c r="D24" s="137">
        <f t="shared" si="0"/>
        <v>49391.32991360694</v>
      </c>
      <c r="E24" s="138"/>
    </row>
    <row r="25" spans="1:5" x14ac:dyDescent="0.45">
      <c r="A25" s="136" t="s">
        <v>26</v>
      </c>
      <c r="B25" s="137">
        <v>6647136.5999999987</v>
      </c>
      <c r="C25" s="137">
        <v>94.4</v>
      </c>
      <c r="D25" s="137">
        <f t="shared" si="0"/>
        <v>70414.582627118623</v>
      </c>
      <c r="E25" s="138"/>
    </row>
    <row r="26" spans="1:5" x14ac:dyDescent="0.45">
      <c r="A26" s="136" t="s">
        <v>12</v>
      </c>
      <c r="B26" s="137">
        <v>433461.66000000003</v>
      </c>
      <c r="C26" s="137">
        <v>9.25</v>
      </c>
      <c r="D26" s="137">
        <f t="shared" si="0"/>
        <v>46860.72</v>
      </c>
      <c r="E26" s="138"/>
    </row>
    <row r="27" spans="1:5" x14ac:dyDescent="0.45">
      <c r="A27" s="136" t="s">
        <v>27</v>
      </c>
      <c r="B27" s="137">
        <v>2941326.8000000003</v>
      </c>
      <c r="C27" s="137">
        <v>55.1</v>
      </c>
      <c r="D27" s="137">
        <f t="shared" si="0"/>
        <v>53381.611615245012</v>
      </c>
      <c r="E27" s="138"/>
    </row>
    <row r="28" spans="1:5" x14ac:dyDescent="0.45">
      <c r="A28" s="136" t="s">
        <v>28</v>
      </c>
      <c r="B28" s="137">
        <v>5473256.8800000008</v>
      </c>
      <c r="C28" s="137">
        <v>116.25000000000001</v>
      </c>
      <c r="D28" s="137">
        <f t="shared" si="0"/>
        <v>47081.779612903229</v>
      </c>
      <c r="E28" s="138"/>
    </row>
    <row r="29" spans="1:5" x14ac:dyDescent="0.45">
      <c r="A29" s="136" t="s">
        <v>13</v>
      </c>
      <c r="B29" s="137">
        <v>408480.2099999999</v>
      </c>
      <c r="C29" s="137">
        <v>7</v>
      </c>
      <c r="D29" s="137">
        <f t="shared" si="0"/>
        <v>58354.315714285702</v>
      </c>
      <c r="E29" s="138"/>
    </row>
    <row r="30" spans="1:5" x14ac:dyDescent="0.45">
      <c r="A30" s="136" t="s">
        <v>14</v>
      </c>
      <c r="B30" s="137">
        <v>568155.5</v>
      </c>
      <c r="C30" s="137">
        <v>9.75</v>
      </c>
      <c r="D30" s="137">
        <f t="shared" si="0"/>
        <v>58272.358974358976</v>
      </c>
      <c r="E30" s="138"/>
    </row>
    <row r="31" spans="1:5" x14ac:dyDescent="0.45">
      <c r="A31" s="136" t="s">
        <v>44</v>
      </c>
      <c r="B31" s="137">
        <v>10230249.346000006</v>
      </c>
      <c r="C31" s="137">
        <v>163.93000000000004</v>
      </c>
      <c r="D31" s="137">
        <f t="shared" si="0"/>
        <v>62406.205978161437</v>
      </c>
      <c r="E31" s="138"/>
    </row>
    <row r="32" spans="1:5" x14ac:dyDescent="0.45">
      <c r="A32" s="136" t="s">
        <v>29</v>
      </c>
      <c r="B32" s="137">
        <v>4642755.0999999996</v>
      </c>
      <c r="C32" s="137">
        <v>63.7</v>
      </c>
      <c r="D32" s="137">
        <f t="shared" si="0"/>
        <v>72884.695447409729</v>
      </c>
      <c r="E32" s="138"/>
    </row>
    <row r="33" spans="1:5" x14ac:dyDescent="0.45">
      <c r="A33" s="136" t="s">
        <v>30</v>
      </c>
      <c r="B33" s="137">
        <v>2963705.0209999993</v>
      </c>
      <c r="C33" s="137">
        <v>49.849999999999987</v>
      </c>
      <c r="D33" s="137">
        <f t="shared" si="0"/>
        <v>59452.457793380141</v>
      </c>
      <c r="E33" s="138"/>
    </row>
    <row r="34" spans="1:5" x14ac:dyDescent="0.45">
      <c r="A34" s="136" t="s">
        <v>55</v>
      </c>
      <c r="B34" s="137">
        <v>87939366.886396542</v>
      </c>
      <c r="C34" s="137">
        <v>1250.356666666667</v>
      </c>
      <c r="D34" s="137">
        <f t="shared" si="0"/>
        <v>70331.425609010112</v>
      </c>
      <c r="E34" s="138"/>
    </row>
    <row r="35" spans="1:5" x14ac:dyDescent="0.45">
      <c r="A35" s="136" t="s">
        <v>31</v>
      </c>
      <c r="B35" s="137">
        <v>7461441.8399999989</v>
      </c>
      <c r="C35" s="137">
        <v>110.00000000000001</v>
      </c>
      <c r="D35" s="137">
        <f t="shared" si="0"/>
        <v>67831.289454545433</v>
      </c>
      <c r="E35" s="138"/>
    </row>
    <row r="36" spans="1:5" x14ac:dyDescent="0.45">
      <c r="A36" s="136" t="s">
        <v>15</v>
      </c>
      <c r="B36" s="137">
        <v>496594.2</v>
      </c>
      <c r="C36" s="137">
        <v>9</v>
      </c>
      <c r="D36" s="137">
        <f t="shared" si="0"/>
        <v>55177.133333333331</v>
      </c>
      <c r="E36" s="138"/>
    </row>
    <row r="37" spans="1:5" x14ac:dyDescent="0.45">
      <c r="A37" s="136" t="s">
        <v>56</v>
      </c>
      <c r="B37" s="137">
        <v>66043528.619999997</v>
      </c>
      <c r="C37" s="137">
        <v>961.75</v>
      </c>
      <c r="D37" s="137">
        <f t="shared" si="0"/>
        <v>68670.162329087601</v>
      </c>
      <c r="E37" s="138"/>
    </row>
    <row r="38" spans="1:5" x14ac:dyDescent="0.45">
      <c r="A38" s="136" t="s">
        <v>57</v>
      </c>
      <c r="B38" s="137">
        <v>44306820.708248898</v>
      </c>
      <c r="C38" s="137">
        <v>615.99999999999886</v>
      </c>
      <c r="D38" s="137">
        <f t="shared" si="0"/>
        <v>71926.656993910685</v>
      </c>
      <c r="E38" s="138"/>
    </row>
    <row r="39" spans="1:5" x14ac:dyDescent="0.45">
      <c r="A39" s="136" t="s">
        <v>16</v>
      </c>
      <c r="B39" s="137">
        <v>1366216.2720000001</v>
      </c>
      <c r="C39" s="137">
        <v>24.4</v>
      </c>
      <c r="D39" s="137">
        <f t="shared" si="0"/>
        <v>55992.470163934435</v>
      </c>
      <c r="E39" s="138"/>
    </row>
    <row r="40" spans="1:5" x14ac:dyDescent="0.45">
      <c r="A40" s="136" t="s">
        <v>58</v>
      </c>
      <c r="B40" s="137">
        <v>53891679.248912215</v>
      </c>
      <c r="C40" s="137">
        <v>864.32</v>
      </c>
      <c r="D40" s="137">
        <f t="shared" si="0"/>
        <v>62351.535598982104</v>
      </c>
      <c r="E40" s="138"/>
    </row>
    <row r="41" spans="1:5" x14ac:dyDescent="0.45">
      <c r="A41" s="136" t="s">
        <v>59</v>
      </c>
      <c r="B41" s="137">
        <v>78640978.172900021</v>
      </c>
      <c r="C41" s="137">
        <v>1177.98</v>
      </c>
      <c r="D41" s="137">
        <f t="shared" si="0"/>
        <v>66759.179419769454</v>
      </c>
      <c r="E41" s="138"/>
    </row>
    <row r="42" spans="1:5" x14ac:dyDescent="0.45">
      <c r="A42" s="136" t="s">
        <v>60</v>
      </c>
      <c r="B42" s="137">
        <v>38800310.400000006</v>
      </c>
      <c r="C42" s="137">
        <v>414.4</v>
      </c>
      <c r="D42" s="137">
        <f t="shared" si="0"/>
        <v>93630.092664092677</v>
      </c>
      <c r="E42" s="138"/>
    </row>
    <row r="43" spans="1:5" x14ac:dyDescent="0.45">
      <c r="A43" s="136" t="s">
        <v>45</v>
      </c>
      <c r="B43" s="137">
        <v>18627365.804700002</v>
      </c>
      <c r="C43" s="137">
        <v>307.66999999999996</v>
      </c>
      <c r="D43" s="137">
        <f t="shared" si="0"/>
        <v>60543.328256573615</v>
      </c>
      <c r="E43" s="138"/>
    </row>
    <row r="44" spans="1:5" x14ac:dyDescent="0.45">
      <c r="A44" s="136" t="s">
        <v>32</v>
      </c>
      <c r="B44" s="137">
        <v>5980531.1800000016</v>
      </c>
      <c r="C44" s="137">
        <v>87.75</v>
      </c>
      <c r="D44" s="137">
        <f t="shared" si="0"/>
        <v>68154.201481481505</v>
      </c>
      <c r="E44" s="138"/>
    </row>
    <row r="45" spans="1:5" x14ac:dyDescent="0.45">
      <c r="A45" s="136" t="s">
        <v>46</v>
      </c>
      <c r="B45" s="137">
        <v>19276510.205905952</v>
      </c>
      <c r="C45" s="137">
        <v>244.25</v>
      </c>
      <c r="D45" s="137">
        <f t="shared" si="0"/>
        <v>78921.229092757218</v>
      </c>
      <c r="E45" s="138"/>
    </row>
    <row r="46" spans="1:5" x14ac:dyDescent="0.45">
      <c r="A46" s="136" t="s">
        <v>47</v>
      </c>
      <c r="B46" s="137">
        <v>13017363.992946144</v>
      </c>
      <c r="C46" s="137">
        <v>200.95500000000001</v>
      </c>
      <c r="D46" s="137">
        <f t="shared" si="0"/>
        <v>64777.50736705304</v>
      </c>
      <c r="E46" s="138"/>
    </row>
    <row r="47" spans="1:5" x14ac:dyDescent="0.45">
      <c r="A47" s="136" t="s">
        <v>61</v>
      </c>
      <c r="B47" s="137">
        <v>47450220.164666668</v>
      </c>
      <c r="C47" s="137">
        <v>592.55999999999995</v>
      </c>
      <c r="D47" s="137">
        <f t="shared" si="0"/>
        <v>80076.650743665916</v>
      </c>
      <c r="E47" s="138"/>
    </row>
    <row r="48" spans="1:5" x14ac:dyDescent="0.45">
      <c r="A48" s="136" t="s">
        <v>33</v>
      </c>
      <c r="B48" s="137">
        <v>6546235.6970000025</v>
      </c>
      <c r="C48" s="137">
        <v>100.1</v>
      </c>
      <c r="D48" s="137">
        <f t="shared" si="0"/>
        <v>65396.960009990042</v>
      </c>
      <c r="E48" s="138"/>
    </row>
    <row r="49" spans="1:5" x14ac:dyDescent="0.45">
      <c r="A49" s="136" t="s">
        <v>34</v>
      </c>
      <c r="B49" s="137">
        <v>6185727.5</v>
      </c>
      <c r="C49" s="137">
        <v>116.65</v>
      </c>
      <c r="D49" s="137">
        <f t="shared" si="0"/>
        <v>53028.096870981564</v>
      </c>
      <c r="E49" s="138"/>
    </row>
    <row r="50" spans="1:5" x14ac:dyDescent="0.45">
      <c r="A50" s="136" t="s">
        <v>17</v>
      </c>
      <c r="B50" s="137">
        <v>172333.90000000002</v>
      </c>
      <c r="C50" s="137">
        <v>3.9</v>
      </c>
      <c r="D50" s="137">
        <f t="shared" si="0"/>
        <v>44188.179487179492</v>
      </c>
      <c r="E50" s="138"/>
    </row>
    <row r="51" spans="1:5" x14ac:dyDescent="0.45">
      <c r="A51" s="136" t="s">
        <v>35</v>
      </c>
      <c r="B51" s="137">
        <v>1592929.1599999997</v>
      </c>
      <c r="C51" s="137">
        <v>29.830000000000002</v>
      </c>
      <c r="D51" s="137">
        <f t="shared" si="0"/>
        <v>53400.240026818625</v>
      </c>
      <c r="E51" s="138"/>
    </row>
    <row r="52" spans="1:5" x14ac:dyDescent="0.45">
      <c r="A52" s="136" t="s">
        <v>48</v>
      </c>
      <c r="B52" s="137">
        <v>12486333.988070659</v>
      </c>
      <c r="C52" s="137">
        <v>195.25</v>
      </c>
      <c r="D52" s="137">
        <f t="shared" si="0"/>
        <v>63950.494177058434</v>
      </c>
      <c r="E52" s="138"/>
    </row>
    <row r="53" spans="1:5" x14ac:dyDescent="0.45">
      <c r="A53" s="136" t="s">
        <v>49</v>
      </c>
      <c r="B53" s="137">
        <v>11072851.222000005</v>
      </c>
      <c r="C53" s="137">
        <v>163.85000000000002</v>
      </c>
      <c r="D53" s="137">
        <f t="shared" si="0"/>
        <v>67579.195740006122</v>
      </c>
      <c r="E53" s="138"/>
    </row>
    <row r="54" spans="1:5" x14ac:dyDescent="0.45">
      <c r="A54" s="136" t="s">
        <v>50</v>
      </c>
      <c r="B54" s="137">
        <v>12347623.634666674</v>
      </c>
      <c r="C54" s="137">
        <v>227.4</v>
      </c>
      <c r="D54" s="137">
        <f t="shared" si="0"/>
        <v>54299.136476106745</v>
      </c>
      <c r="E54" s="138"/>
    </row>
    <row r="55" spans="1:5" x14ac:dyDescent="0.45">
      <c r="A55" s="136" t="s">
        <v>36</v>
      </c>
      <c r="B55" s="137">
        <v>2494865.0000000009</v>
      </c>
      <c r="C55" s="137">
        <v>48.599999999999994</v>
      </c>
      <c r="D55" s="137">
        <f t="shared" si="0"/>
        <v>51334.67078189303</v>
      </c>
      <c r="E55" s="138"/>
    </row>
    <row r="56" spans="1:5" x14ac:dyDescent="0.45">
      <c r="A56" s="136" t="s">
        <v>37</v>
      </c>
      <c r="B56" s="137">
        <v>1939660.1599999995</v>
      </c>
      <c r="C56" s="137">
        <v>37</v>
      </c>
      <c r="D56" s="137">
        <f t="shared" si="0"/>
        <v>52423.247567567552</v>
      </c>
      <c r="E56" s="138"/>
    </row>
    <row r="57" spans="1:5" x14ac:dyDescent="0.45">
      <c r="A57" s="136" t="s">
        <v>18</v>
      </c>
      <c r="B57" s="137">
        <v>565684.5</v>
      </c>
      <c r="C57" s="137">
        <v>9.8800000000000008</v>
      </c>
      <c r="D57" s="137">
        <f t="shared" si="0"/>
        <v>57255.516194331976</v>
      </c>
      <c r="E57" s="138"/>
    </row>
    <row r="58" spans="1:5" x14ac:dyDescent="0.45">
      <c r="A58" s="136" t="s">
        <v>51</v>
      </c>
      <c r="B58" s="137">
        <v>11239294.604199994</v>
      </c>
      <c r="C58" s="137">
        <v>209.87</v>
      </c>
      <c r="D58" s="137">
        <f t="shared" si="0"/>
        <v>53553.602726449681</v>
      </c>
      <c r="E58" s="138"/>
    </row>
    <row r="59" spans="1:5" x14ac:dyDescent="0.45">
      <c r="A59" s="136" t="s">
        <v>38</v>
      </c>
      <c r="B59" s="137">
        <v>1593578.61</v>
      </c>
      <c r="C59" s="137">
        <v>33</v>
      </c>
      <c r="D59" s="137">
        <f t="shared" si="0"/>
        <v>48290.26090909091</v>
      </c>
      <c r="E59" s="138"/>
    </row>
    <row r="60" spans="1:5" x14ac:dyDescent="0.45">
      <c r="A60" s="136" t="s">
        <v>52</v>
      </c>
      <c r="B60" s="137">
        <v>18106825.976249985</v>
      </c>
      <c r="C60" s="137">
        <v>277.11739999999986</v>
      </c>
      <c r="D60" s="137">
        <f t="shared" si="0"/>
        <v>65339.910002944584</v>
      </c>
      <c r="E60" s="138"/>
    </row>
    <row r="61" spans="1:5" x14ac:dyDescent="0.45">
      <c r="A61" s="136" t="s">
        <v>39</v>
      </c>
      <c r="B61" s="137">
        <v>3954301.0000000009</v>
      </c>
      <c r="C61" s="137">
        <v>77.000000000000014</v>
      </c>
      <c r="D61" s="137">
        <f t="shared" si="0"/>
        <v>51354.558441558445</v>
      </c>
      <c r="E61" s="138"/>
    </row>
    <row r="62" spans="1:5" x14ac:dyDescent="0.45">
      <c r="A62" s="136" t="s">
        <v>40</v>
      </c>
      <c r="B62" s="137">
        <v>2526475.0099999998</v>
      </c>
      <c r="C62" s="137">
        <v>42.5</v>
      </c>
      <c r="D62" s="137">
        <f t="shared" si="0"/>
        <v>59446.470823529409</v>
      </c>
      <c r="E62" s="138"/>
    </row>
    <row r="63" spans="1:5" x14ac:dyDescent="0.45">
      <c r="A63" s="136"/>
      <c r="B63" s="137">
        <f>SUM(B5:B62)</f>
        <v>1024441329.5987711</v>
      </c>
      <c r="C63" s="137">
        <f>SUM(C5:C62)</f>
        <v>15390.839066666664</v>
      </c>
      <c r="D63" s="137"/>
    </row>
    <row r="64" spans="1:5" x14ac:dyDescent="0.45">
      <c r="A64" s="139" t="s">
        <v>139</v>
      </c>
      <c r="B64" s="139"/>
      <c r="C64" s="139"/>
      <c r="D64" s="140">
        <f>AVERAGE(D5:D62)</f>
        <v>59493.644271865458</v>
      </c>
    </row>
    <row r="65" spans="2:4" x14ac:dyDescent="0.45">
      <c r="D65" s="226">
        <f>B63/C63</f>
        <v>66561.759574076539</v>
      </c>
    </row>
    <row r="66" spans="2:4" x14ac:dyDescent="0.45">
      <c r="B66" s="167"/>
      <c r="D66" s="227">
        <f>(D65-D64)/D64</f>
        <v>0.11880454439657838</v>
      </c>
    </row>
  </sheetData>
  <mergeCells count="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7030A0"/>
  </sheetPr>
  <dimension ref="A1:H48"/>
  <sheetViews>
    <sheetView view="pageBreakPreview" zoomScale="80" zoomScaleNormal="100" zoomScaleSheetLayoutView="80" workbookViewId="0">
      <selection activeCell="DX70" sqref="DX70"/>
    </sheetView>
  </sheetViews>
  <sheetFormatPr defaultRowHeight="14.25" x14ac:dyDescent="0.45"/>
  <cols>
    <col min="1" max="1" width="70.59765625" customWidth="1"/>
    <col min="2" max="2" width="12.3984375" customWidth="1"/>
    <col min="3" max="4" width="12.3984375" bestFit="1" customWidth="1"/>
    <col min="5" max="5" width="15" customWidth="1"/>
    <col min="6" max="6" width="11.3984375" bestFit="1" customWidth="1"/>
    <col min="7" max="7" width="15" customWidth="1"/>
  </cols>
  <sheetData>
    <row r="1" spans="1:7" x14ac:dyDescent="0.45">
      <c r="A1" s="51" t="s">
        <v>84</v>
      </c>
      <c r="B1" s="51"/>
    </row>
    <row r="2" spans="1:7" ht="5.25" customHeight="1" x14ac:dyDescent="0.45">
      <c r="A2" s="51"/>
      <c r="B2" s="51"/>
    </row>
    <row r="3" spans="1:7" x14ac:dyDescent="0.45">
      <c r="A3" s="51" t="s">
        <v>85</v>
      </c>
      <c r="B3" s="51"/>
    </row>
    <row r="4" spans="1:7" ht="6" customHeight="1" x14ac:dyDescent="0.45">
      <c r="A4" s="51"/>
      <c r="B4" s="51"/>
    </row>
    <row r="5" spans="1:7" x14ac:dyDescent="0.45">
      <c r="A5" s="51" t="s">
        <v>86</v>
      </c>
      <c r="B5" s="51"/>
    </row>
    <row r="6" spans="1:7" x14ac:dyDescent="0.45">
      <c r="A6" s="52">
        <v>41590</v>
      </c>
      <c r="B6" s="52"/>
    </row>
    <row r="7" spans="1:7" ht="14.65" thickBot="1" x14ac:dyDescent="0.5"/>
    <row r="8" spans="1:7" ht="42.75" x14ac:dyDescent="0.45">
      <c r="A8" s="53" t="s">
        <v>87</v>
      </c>
      <c r="B8" s="54" t="s">
        <v>88</v>
      </c>
      <c r="C8" s="54" t="s">
        <v>89</v>
      </c>
      <c r="D8" s="54" t="s">
        <v>90</v>
      </c>
      <c r="E8" s="54" t="s">
        <v>91</v>
      </c>
      <c r="F8" s="54" t="s">
        <v>92</v>
      </c>
      <c r="G8" s="55" t="s">
        <v>93</v>
      </c>
    </row>
    <row r="9" spans="1:7" x14ac:dyDescent="0.45">
      <c r="A9" s="56"/>
      <c r="B9" s="57" t="s">
        <v>82</v>
      </c>
      <c r="C9" s="57" t="s">
        <v>81</v>
      </c>
      <c r="D9" s="57" t="s">
        <v>80</v>
      </c>
      <c r="E9" s="57" t="s">
        <v>79</v>
      </c>
      <c r="F9" s="57" t="s">
        <v>78</v>
      </c>
      <c r="G9" s="58" t="s">
        <v>94</v>
      </c>
    </row>
    <row r="10" spans="1:7" x14ac:dyDescent="0.45">
      <c r="A10" s="59" t="s">
        <v>95</v>
      </c>
      <c r="B10" s="29">
        <v>1</v>
      </c>
      <c r="C10" s="29">
        <v>90</v>
      </c>
      <c r="D10" s="60">
        <v>115576</v>
      </c>
      <c r="E10" s="60">
        <v>36347.275902798836</v>
      </c>
      <c r="F10" s="60">
        <v>10702.036999999998</v>
      </c>
      <c r="G10" s="61">
        <f>SUM(D10:F10)*B10</f>
        <v>162625.31290279885</v>
      </c>
    </row>
    <row r="11" spans="1:7" x14ac:dyDescent="0.45">
      <c r="A11" s="59" t="s">
        <v>96</v>
      </c>
      <c r="B11" s="29">
        <v>3</v>
      </c>
      <c r="C11" s="29">
        <v>10</v>
      </c>
      <c r="D11" s="60" t="e">
        <f>#REF!</f>
        <v>#REF!</v>
      </c>
      <c r="E11" s="60">
        <v>0</v>
      </c>
      <c r="F11" s="60">
        <v>8742.9885057471274</v>
      </c>
      <c r="G11" s="61" t="e">
        <f t="shared" ref="G11:G14" si="0">SUM(D11:F11)*B11</f>
        <v>#REF!</v>
      </c>
    </row>
    <row r="12" spans="1:7" x14ac:dyDescent="0.45">
      <c r="A12" s="59" t="s">
        <v>97</v>
      </c>
      <c r="B12" s="29">
        <v>1</v>
      </c>
      <c r="C12" s="29">
        <v>90</v>
      </c>
      <c r="D12" s="60" t="e">
        <f>#REF!</f>
        <v>#REF!</v>
      </c>
      <c r="E12" s="60">
        <v>0</v>
      </c>
      <c r="F12" s="60">
        <v>10702.036999999998</v>
      </c>
      <c r="G12" s="61" t="e">
        <f t="shared" si="0"/>
        <v>#REF!</v>
      </c>
    </row>
    <row r="13" spans="1:7" x14ac:dyDescent="0.45">
      <c r="A13" s="59" t="s">
        <v>98</v>
      </c>
      <c r="B13" s="29">
        <v>1</v>
      </c>
      <c r="C13" s="29">
        <v>10</v>
      </c>
      <c r="D13" s="60" t="e">
        <f>#REF!</f>
        <v>#REF!</v>
      </c>
      <c r="E13" s="60">
        <v>0</v>
      </c>
      <c r="F13" s="60">
        <v>8742.9885057471274</v>
      </c>
      <c r="G13" s="61" t="e">
        <f t="shared" si="0"/>
        <v>#REF!</v>
      </c>
    </row>
    <row r="14" spans="1:7" ht="14.65" thickBot="1" x14ac:dyDescent="0.5">
      <c r="A14" s="62" t="s">
        <v>99</v>
      </c>
      <c r="B14" s="63">
        <v>0.5</v>
      </c>
      <c r="C14" s="63">
        <v>10</v>
      </c>
      <c r="D14" s="60" t="e">
        <f>#REF!</f>
        <v>#REF!</v>
      </c>
      <c r="E14" s="64">
        <v>0</v>
      </c>
      <c r="F14" s="64">
        <v>8742.9885057471274</v>
      </c>
      <c r="G14" s="65" t="e">
        <f t="shared" si="0"/>
        <v>#REF!</v>
      </c>
    </row>
    <row r="15" spans="1:7" ht="14.65" thickBot="1" x14ac:dyDescent="0.5">
      <c r="A15" s="66" t="s">
        <v>100</v>
      </c>
      <c r="B15" s="67">
        <f>SUM(B10:B14)</f>
        <v>6.5</v>
      </c>
      <c r="C15" s="68"/>
      <c r="D15" s="68"/>
      <c r="E15" s="68"/>
      <c r="F15" s="68"/>
      <c r="G15" s="69" t="e">
        <f>SUM(G10:G14)</f>
        <v>#REF!</v>
      </c>
    </row>
    <row r="16" spans="1:7" ht="14.65" thickBot="1" x14ac:dyDescent="0.5">
      <c r="A16" s="70"/>
      <c r="B16" s="70"/>
      <c r="C16" s="71"/>
      <c r="D16" s="71"/>
      <c r="E16" s="71"/>
      <c r="F16" s="71"/>
      <c r="G16" s="72"/>
    </row>
    <row r="17" spans="1:8" x14ac:dyDescent="0.45">
      <c r="A17" s="73" t="s">
        <v>101</v>
      </c>
      <c r="B17" s="74"/>
      <c r="C17" s="75"/>
      <c r="D17" s="75"/>
      <c r="E17" s="75"/>
      <c r="F17" s="75"/>
      <c r="G17" s="76">
        <v>27928</v>
      </c>
    </row>
    <row r="18" spans="1:8" ht="14.65" thickBot="1" x14ac:dyDescent="0.5">
      <c r="A18" s="77" t="s">
        <v>102</v>
      </c>
      <c r="B18" s="78"/>
      <c r="C18" s="79"/>
      <c r="D18" s="79"/>
      <c r="E18" s="79"/>
      <c r="F18" s="79"/>
      <c r="G18" s="80">
        <f>G17*B15</f>
        <v>181532</v>
      </c>
      <c r="H18" s="81" t="s">
        <v>103</v>
      </c>
    </row>
    <row r="19" spans="1:8" ht="14.65" thickBot="1" x14ac:dyDescent="0.5">
      <c r="A19" s="82" t="s">
        <v>104</v>
      </c>
      <c r="B19" s="83"/>
      <c r="C19" s="84"/>
      <c r="D19" s="84"/>
      <c r="E19" s="84"/>
      <c r="F19" s="84"/>
      <c r="G19" s="85" t="e">
        <f>G18+G15</f>
        <v>#REF!</v>
      </c>
      <c r="H19" s="86"/>
    </row>
    <row r="20" spans="1:8" ht="14.65" thickBot="1" x14ac:dyDescent="0.5">
      <c r="A20" s="70"/>
      <c r="B20" s="70"/>
      <c r="C20" s="71"/>
      <c r="D20" s="71"/>
      <c r="E20" s="71"/>
      <c r="F20" s="71"/>
      <c r="G20" s="72"/>
      <c r="H20" s="86"/>
    </row>
    <row r="21" spans="1:8" ht="14.65" thickBot="1" x14ac:dyDescent="0.5">
      <c r="A21" s="82" t="s">
        <v>105</v>
      </c>
      <c r="B21" s="83"/>
      <c r="C21" s="84"/>
      <c r="D21" s="84"/>
      <c r="E21" s="84"/>
      <c r="F21" s="84"/>
      <c r="G21" s="85">
        <v>750000</v>
      </c>
      <c r="H21" s="86"/>
    </row>
    <row r="22" spans="1:8" x14ac:dyDescent="0.45">
      <c r="A22" s="70"/>
      <c r="B22" s="70"/>
      <c r="C22" s="71"/>
      <c r="D22" s="71"/>
      <c r="E22" s="71"/>
      <c r="F22" s="71"/>
      <c r="G22" s="72"/>
      <c r="H22" s="86"/>
    </row>
    <row r="23" spans="1:8" x14ac:dyDescent="0.45">
      <c r="A23" s="87" t="s">
        <v>106</v>
      </c>
      <c r="B23" s="88"/>
      <c r="C23" s="88"/>
      <c r="D23" s="88"/>
      <c r="E23" s="88"/>
      <c r="F23" s="88"/>
      <c r="G23" s="89"/>
      <c r="H23" s="86"/>
    </row>
    <row r="24" spans="1:8" ht="29.25" customHeight="1" x14ac:dyDescent="0.45">
      <c r="A24" s="455" t="s">
        <v>107</v>
      </c>
      <c r="B24" s="456"/>
      <c r="C24" s="456"/>
      <c r="D24" s="456"/>
      <c r="E24" s="456"/>
      <c r="F24" s="456"/>
      <c r="G24" s="457"/>
      <c r="H24" s="86"/>
    </row>
    <row r="25" spans="1:8" x14ac:dyDescent="0.45">
      <c r="A25" s="90"/>
      <c r="B25" s="71"/>
      <c r="C25" s="71"/>
      <c r="D25" s="71"/>
      <c r="E25" s="71"/>
      <c r="F25" s="71"/>
      <c r="G25" s="91"/>
      <c r="H25" s="86"/>
    </row>
    <row r="26" spans="1:8" x14ac:dyDescent="0.45">
      <c r="A26" s="92" t="s">
        <v>108</v>
      </c>
      <c r="B26" s="93"/>
      <c r="C26" s="93"/>
      <c r="D26" s="93"/>
      <c r="E26" s="93"/>
      <c r="F26" s="93"/>
      <c r="G26" s="94">
        <v>168203.75</v>
      </c>
      <c r="H26" s="81" t="s">
        <v>103</v>
      </c>
    </row>
    <row r="29" spans="1:8" x14ac:dyDescent="0.45">
      <c r="A29" t="s">
        <v>109</v>
      </c>
    </row>
    <row r="30" spans="1:8" x14ac:dyDescent="0.45">
      <c r="A30" t="s">
        <v>110</v>
      </c>
    </row>
    <row r="31" spans="1:8" x14ac:dyDescent="0.45">
      <c r="A31" t="s">
        <v>111</v>
      </c>
    </row>
    <row r="32" spans="1:8" x14ac:dyDescent="0.45">
      <c r="A32" t="s">
        <v>112</v>
      </c>
    </row>
    <row r="33" spans="1:7" x14ac:dyDescent="0.45">
      <c r="A33" t="s">
        <v>113</v>
      </c>
    </row>
    <row r="34" spans="1:7" x14ac:dyDescent="0.45">
      <c r="A34" t="s">
        <v>114</v>
      </c>
    </row>
    <row r="35" spans="1:7" x14ac:dyDescent="0.45">
      <c r="A35" t="s">
        <v>115</v>
      </c>
    </row>
    <row r="36" spans="1:7" x14ac:dyDescent="0.45">
      <c r="A36" t="s">
        <v>116</v>
      </c>
    </row>
    <row r="37" spans="1:7" x14ac:dyDescent="0.45">
      <c r="A37" t="s">
        <v>117</v>
      </c>
    </row>
    <row r="40" spans="1:7" x14ac:dyDescent="0.45">
      <c r="A40" s="51" t="s">
        <v>118</v>
      </c>
    </row>
    <row r="42" spans="1:7" x14ac:dyDescent="0.45">
      <c r="E42" s="51" t="s">
        <v>119</v>
      </c>
    </row>
    <row r="43" spans="1:7" x14ac:dyDescent="0.45">
      <c r="B43" t="s">
        <v>120</v>
      </c>
      <c r="C43" t="s">
        <v>121</v>
      </c>
      <c r="D43" t="s">
        <v>122</v>
      </c>
      <c r="E43" t="s">
        <v>123</v>
      </c>
      <c r="F43" t="s">
        <v>124</v>
      </c>
      <c r="G43" t="s">
        <v>125</v>
      </c>
    </row>
    <row r="44" spans="1:7" x14ac:dyDescent="0.45">
      <c r="A44" t="s">
        <v>126</v>
      </c>
      <c r="B44" s="23">
        <v>749999</v>
      </c>
      <c r="C44" s="23">
        <f>$G$21</f>
        <v>750000</v>
      </c>
      <c r="D44" s="95">
        <v>1</v>
      </c>
      <c r="E44" s="23">
        <f>B44*(1-D44)</f>
        <v>0</v>
      </c>
      <c r="F44" s="20">
        <f>D44*C44</f>
        <v>750000</v>
      </c>
      <c r="G44" s="20">
        <f>F44+E44</f>
        <v>750000</v>
      </c>
    </row>
    <row r="45" spans="1:7" x14ac:dyDescent="0.45">
      <c r="A45" t="s">
        <v>126</v>
      </c>
      <c r="B45" s="23">
        <v>1249999</v>
      </c>
      <c r="C45" s="23">
        <f t="shared" ref="C45:C47" si="1">$G$21</f>
        <v>750000</v>
      </c>
      <c r="D45" s="95">
        <v>0.75</v>
      </c>
      <c r="E45" s="23">
        <f t="shared" ref="E45:E47" si="2">B45*(1-D45)</f>
        <v>312499.75</v>
      </c>
      <c r="F45" s="20">
        <f t="shared" ref="F45:F47" si="3">D45*C45</f>
        <v>562500</v>
      </c>
      <c r="G45" s="20">
        <f t="shared" ref="G45:G47" si="4">F45+E45</f>
        <v>874999.75</v>
      </c>
    </row>
    <row r="46" spans="1:7" x14ac:dyDescent="0.45">
      <c r="A46" t="s">
        <v>126</v>
      </c>
      <c r="B46" s="23">
        <v>1749999</v>
      </c>
      <c r="C46" s="23">
        <f t="shared" si="1"/>
        <v>750000</v>
      </c>
      <c r="D46" s="95">
        <v>0.5</v>
      </c>
      <c r="E46" s="23">
        <f t="shared" si="2"/>
        <v>874999.5</v>
      </c>
      <c r="F46" s="20">
        <f t="shared" si="3"/>
        <v>375000</v>
      </c>
      <c r="G46" s="20">
        <f t="shared" si="4"/>
        <v>1249999.5</v>
      </c>
    </row>
    <row r="47" spans="1:7" x14ac:dyDescent="0.45">
      <c r="A47" s="96" t="s">
        <v>126</v>
      </c>
      <c r="B47" s="97">
        <v>2249999</v>
      </c>
      <c r="C47" s="97">
        <f t="shared" si="1"/>
        <v>750000</v>
      </c>
      <c r="D47" s="98">
        <v>0.25</v>
      </c>
      <c r="E47" s="97">
        <f t="shared" si="2"/>
        <v>1687499.25</v>
      </c>
      <c r="F47" s="99">
        <f t="shared" si="3"/>
        <v>187500</v>
      </c>
      <c r="G47" s="99">
        <f t="shared" si="4"/>
        <v>1874999.25</v>
      </c>
    </row>
    <row r="48" spans="1:7" x14ac:dyDescent="0.45">
      <c r="A48" t="s">
        <v>127</v>
      </c>
      <c r="B48" s="23">
        <v>2250000</v>
      </c>
      <c r="C48" s="23"/>
      <c r="G48" s="20">
        <f>G47</f>
        <v>1874999.25</v>
      </c>
    </row>
  </sheetData>
  <mergeCells count="1">
    <mergeCell ref="A24:G24"/>
  </mergeCells>
  <pageMargins left="0.7" right="0.7" top="0.75" bottom="0.75" header="0.3" footer="0.3"/>
  <pageSetup scale="66" orientation="landscape" r:id="rId1"/>
  <rowBreaks count="1" manualBreakCount="1">
    <brk id="37"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pageSetUpPr fitToPage="1"/>
  </sheetPr>
  <dimension ref="A1:AI70"/>
  <sheetViews>
    <sheetView zoomScaleNormal="100" zoomScaleSheetLayoutView="70" workbookViewId="0">
      <pane xSplit="2" ySplit="5" topLeftCell="N42" activePane="bottomRight" state="frozen"/>
      <selection activeCell="DX70" sqref="DX70"/>
      <selection pane="topRight" activeCell="DX70" sqref="DX70"/>
      <selection pane="bottomLeft" activeCell="DX70" sqref="DX70"/>
      <selection pane="bottomRight" activeCell="DX70" sqref="DX70"/>
    </sheetView>
  </sheetViews>
  <sheetFormatPr defaultRowHeight="14.25" x14ac:dyDescent="0.45"/>
  <cols>
    <col min="1" max="1" width="5.86328125" customWidth="1"/>
    <col min="2" max="2" width="20.3984375" style="1" customWidth="1"/>
    <col min="3" max="3" width="14.3984375" style="1" bestFit="1" customWidth="1"/>
    <col min="4" max="4" width="13.86328125" style="1" customWidth="1"/>
    <col min="5" max="5" width="14.3984375" style="1" customWidth="1"/>
    <col min="6" max="6" width="11.3984375" customWidth="1"/>
    <col min="7" max="7" width="1.3984375" style="2" customWidth="1"/>
    <col min="8" max="8" width="15" style="23" bestFit="1" customWidth="1"/>
    <col min="9" max="9" width="14.3984375" style="23" bestFit="1" customWidth="1"/>
    <col min="10" max="10" width="11.3984375" style="23" bestFit="1" customWidth="1"/>
    <col min="11" max="11" width="1" customWidth="1"/>
    <col min="12" max="12" width="12.3984375" bestFit="1" customWidth="1"/>
    <col min="13" max="13" width="14.1328125" customWidth="1"/>
    <col min="14" max="14" width="13.3984375" bestFit="1" customWidth="1"/>
    <col min="15" max="15" width="1" customWidth="1"/>
    <col min="16" max="16" width="12.3984375" bestFit="1" customWidth="1"/>
    <col min="17" max="17" width="14.1328125" customWidth="1"/>
    <col min="18" max="18" width="13.3984375" bestFit="1" customWidth="1"/>
    <col min="19" max="19" width="1" customWidth="1"/>
    <col min="20" max="21" width="12.3984375" style="23" bestFit="1" customWidth="1"/>
    <col min="22" max="22" width="1.3984375" style="13" customWidth="1"/>
    <col min="23" max="23" width="12.3984375" style="13" customWidth="1"/>
    <col min="24" max="24" width="13.3984375" style="13" customWidth="1"/>
    <col min="25" max="25" width="1.265625" customWidth="1"/>
    <col min="26" max="26" width="13.1328125" bestFit="1" customWidth="1"/>
    <col min="27" max="27" width="1.3984375" customWidth="1"/>
    <col min="28" max="28" width="12.3984375" bestFit="1" customWidth="1"/>
    <col min="29" max="29" width="0.86328125" customWidth="1"/>
    <col min="30" max="30" width="0.59765625" customWidth="1"/>
    <col min="31" max="31" width="14.1328125" customWidth="1"/>
    <col min="32" max="32" width="13.86328125" customWidth="1"/>
    <col min="33" max="33" width="12" bestFit="1" customWidth="1"/>
    <col min="34" max="34" width="9.59765625" bestFit="1" customWidth="1"/>
    <col min="35" max="35" width="10.3984375" bestFit="1" customWidth="1"/>
  </cols>
  <sheetData>
    <row r="1" spans="1:35" ht="18" x14ac:dyDescent="0.55000000000000004">
      <c r="A1" s="46" t="s">
        <v>429</v>
      </c>
    </row>
    <row r="3" spans="1:35" ht="51" customHeight="1" x14ac:dyDescent="0.45">
      <c r="A3" s="439"/>
      <c r="B3" s="439"/>
      <c r="C3" s="440" t="s">
        <v>131</v>
      </c>
      <c r="D3" s="442" t="s">
        <v>430</v>
      </c>
      <c r="E3" s="443"/>
      <c r="F3" s="437" t="s">
        <v>215</v>
      </c>
      <c r="G3" s="116"/>
      <c r="H3" s="444" t="s">
        <v>425</v>
      </c>
      <c r="I3" s="444"/>
      <c r="J3" s="444"/>
      <c r="K3" s="114"/>
      <c r="L3" s="445" t="s">
        <v>431</v>
      </c>
      <c r="M3" s="445"/>
      <c r="N3" s="445"/>
      <c r="O3" s="114"/>
      <c r="P3" s="445" t="s">
        <v>435</v>
      </c>
      <c r="Q3" s="445"/>
      <c r="R3" s="445"/>
      <c r="S3" s="114"/>
      <c r="T3" s="446" t="s">
        <v>159</v>
      </c>
      <c r="U3" s="446"/>
      <c r="V3" s="155"/>
      <c r="W3" s="447" t="s">
        <v>442</v>
      </c>
      <c r="X3" s="448"/>
      <c r="Z3" s="437" t="s">
        <v>445</v>
      </c>
      <c r="AB3" s="437" t="s">
        <v>501</v>
      </c>
      <c r="AE3" s="437" t="s">
        <v>166</v>
      </c>
      <c r="AF3" s="437" t="str">
        <f>"Allocation and Reallocation of "&amp;TEXT(AF$66,"$0.0,,")&amp;" Million in New Funding in 2017-18"</f>
        <v>Allocation and Reallocation of $0.0 Million in New Funding in 2017-18</v>
      </c>
      <c r="AG3" s="437" t="s">
        <v>168</v>
      </c>
    </row>
    <row r="4" spans="1:35" ht="89.25" customHeight="1" x14ac:dyDescent="0.45">
      <c r="A4" s="439"/>
      <c r="B4" s="439"/>
      <c r="C4" s="441"/>
      <c r="D4" s="248" t="s">
        <v>130</v>
      </c>
      <c r="E4" s="248" t="s">
        <v>178</v>
      </c>
      <c r="F4" s="438"/>
      <c r="G4" s="117"/>
      <c r="H4" s="249" t="s">
        <v>426</v>
      </c>
      <c r="I4" s="249" t="s">
        <v>76</v>
      </c>
      <c r="J4" s="249" t="s">
        <v>160</v>
      </c>
      <c r="K4" s="114"/>
      <c r="L4" s="250" t="s">
        <v>432</v>
      </c>
      <c r="M4" s="247" t="s">
        <v>438</v>
      </c>
      <c r="N4" s="151" t="s">
        <v>160</v>
      </c>
      <c r="O4" s="114"/>
      <c r="P4" s="250" t="s">
        <v>456</v>
      </c>
      <c r="Q4" s="247" t="s">
        <v>437</v>
      </c>
      <c r="R4" s="151" t="s">
        <v>160</v>
      </c>
      <c r="S4" s="114"/>
      <c r="T4" s="250" t="s">
        <v>432</v>
      </c>
      <c r="U4" s="250" t="s">
        <v>456</v>
      </c>
      <c r="V4" s="156"/>
      <c r="W4" s="123" t="s">
        <v>443</v>
      </c>
      <c r="X4" s="123" t="s">
        <v>444</v>
      </c>
      <c r="Z4" s="438"/>
      <c r="AB4" s="438"/>
      <c r="AE4" s="438"/>
      <c r="AF4" s="438"/>
      <c r="AG4" s="438"/>
    </row>
    <row r="5" spans="1:35" s="113" customFormat="1" ht="36.75" customHeight="1" x14ac:dyDescent="0.45">
      <c r="A5" s="24" t="s">
        <v>72</v>
      </c>
      <c r="B5" s="24" t="s">
        <v>63</v>
      </c>
      <c r="C5" s="38" t="s">
        <v>68</v>
      </c>
      <c r="D5" s="30" t="s">
        <v>1</v>
      </c>
      <c r="E5" s="30" t="s">
        <v>69</v>
      </c>
      <c r="F5" s="115" t="s">
        <v>219</v>
      </c>
      <c r="G5" s="118"/>
      <c r="H5" s="31" t="s">
        <v>427</v>
      </c>
      <c r="I5" s="31" t="s">
        <v>428</v>
      </c>
      <c r="J5" s="31" t="s">
        <v>238</v>
      </c>
      <c r="L5" s="152" t="s">
        <v>433</v>
      </c>
      <c r="M5" s="152" t="s">
        <v>434</v>
      </c>
      <c r="N5" s="152" t="s">
        <v>239</v>
      </c>
      <c r="P5" s="152" t="s">
        <v>436</v>
      </c>
      <c r="Q5" s="152" t="s">
        <v>439</v>
      </c>
      <c r="R5" s="152" t="s">
        <v>240</v>
      </c>
      <c r="T5" s="31" t="s">
        <v>440</v>
      </c>
      <c r="U5" s="31" t="s">
        <v>441</v>
      </c>
      <c r="V5" s="157"/>
      <c r="W5" s="31" t="s">
        <v>157</v>
      </c>
      <c r="X5" s="31" t="s">
        <v>158</v>
      </c>
      <c r="Z5" s="115" t="s">
        <v>67</v>
      </c>
      <c r="AB5" s="115" t="s">
        <v>167</v>
      </c>
      <c r="AD5" s="262" t="s">
        <v>505</v>
      </c>
      <c r="AE5" s="115" t="s">
        <v>169</v>
      </c>
      <c r="AF5" s="115" t="s">
        <v>170</v>
      </c>
      <c r="AG5" s="115" t="s">
        <v>182</v>
      </c>
    </row>
    <row r="6" spans="1:35" s="2" customFormat="1" ht="15.75" x14ac:dyDescent="0.5">
      <c r="A6" s="19">
        <v>4</v>
      </c>
      <c r="B6" s="32" t="s">
        <v>53</v>
      </c>
      <c r="C6" s="124" t="e">
        <f>VLOOKUP($B6,#REF!,8,FALSE)</f>
        <v>#REF!</v>
      </c>
      <c r="D6" s="33">
        <v>4.8307843371362374E-2</v>
      </c>
      <c r="E6" s="33">
        <v>3.6847293306701778E-2</v>
      </c>
      <c r="F6" s="181">
        <f>E6/D6</f>
        <v>0.76276005582450435</v>
      </c>
      <c r="G6" s="119"/>
      <c r="H6" s="27">
        <v>-27834746.805494942</v>
      </c>
      <c r="I6" s="27">
        <v>21231233.02722026</v>
      </c>
      <c r="J6" s="37">
        <f>SUM(H6:I6)</f>
        <v>-6603513.7782746814</v>
      </c>
      <c r="L6" s="108">
        <v>7892690.2262955206</v>
      </c>
      <c r="M6" s="108">
        <v>-10347540.05014582</v>
      </c>
      <c r="N6" s="108">
        <f>L6+M6</f>
        <v>-2454849.8238502992</v>
      </c>
      <c r="P6" s="108">
        <v>721766.91843468626</v>
      </c>
      <c r="Q6" s="108">
        <v>-946256.8378131619</v>
      </c>
      <c r="R6" s="108">
        <f>P6+Q6</f>
        <v>-224489.91937847564</v>
      </c>
      <c r="T6" s="27">
        <v>7892690.2262955206</v>
      </c>
      <c r="U6" s="27">
        <v>721766.91843468638</v>
      </c>
      <c r="V6" s="12"/>
      <c r="W6" s="122">
        <v>5312624.9871263318</v>
      </c>
      <c r="X6" s="122">
        <v>-5080971.5931175984</v>
      </c>
      <c r="Y6" s="12"/>
      <c r="Z6" s="108">
        <f t="shared" ref="Z6:Z37" si="0">SUM(J6,N6,R6,T6:X6)</f>
        <v>-436742.98276451789</v>
      </c>
      <c r="AB6" s="108">
        <v>-16516.52238594653</v>
      </c>
      <c r="AC6" s="145"/>
      <c r="AD6" s="12">
        <f>SUM(N6+R6+T6+U6)</f>
        <v>5935117.4015014311</v>
      </c>
      <c r="AE6" s="108" t="e">
        <f>($C$65*AE$66)*(-$D6+$E6)</f>
        <v>#REF!</v>
      </c>
      <c r="AF6" s="108">
        <f t="shared" ref="AF6:AF63" si="1">(-$D6+(2*$E6))*AF$66</f>
        <v>0</v>
      </c>
      <c r="AG6" s="108" t="e">
        <f>#REF!</f>
        <v>#REF!</v>
      </c>
      <c r="AH6" s="145"/>
      <c r="AI6" s="145"/>
    </row>
    <row r="7" spans="1:35" s="2" customFormat="1" ht="15.75" x14ac:dyDescent="0.5">
      <c r="A7" s="19">
        <v>1</v>
      </c>
      <c r="B7" s="32" t="s">
        <v>4</v>
      </c>
      <c r="C7" s="124" t="e">
        <f>VLOOKUP($B7,#REF!,8,FALSE)</f>
        <v>#REF!</v>
      </c>
      <c r="D7" s="33">
        <v>3.8330184981862157E-4</v>
      </c>
      <c r="E7" s="33">
        <v>1.7239516632093705E-4</v>
      </c>
      <c r="F7" s="181">
        <f t="shared" ref="F7:F65" si="2">E7/D7</f>
        <v>0.44976346031858294</v>
      </c>
      <c r="G7" s="119"/>
      <c r="H7" s="27">
        <v>-220856.68072079553</v>
      </c>
      <c r="I7" s="27">
        <v>99333.264955461447</v>
      </c>
      <c r="J7" s="37">
        <f t="shared" ref="J7:J63" si="3">SUM(H7:I7)</f>
        <v>-121523.41576533408</v>
      </c>
      <c r="L7" s="108">
        <v>36927.044625944713</v>
      </c>
      <c r="M7" s="108">
        <v>-82103.256231148727</v>
      </c>
      <c r="N7" s="108">
        <f t="shared" ref="N7:N63" si="4">L7+M7</f>
        <v>-45176.211605204015</v>
      </c>
      <c r="P7" s="108">
        <v>3376.8865168141615</v>
      </c>
      <c r="Q7" s="108">
        <v>-7508.1388657544503</v>
      </c>
      <c r="R7" s="108">
        <f t="shared" ref="R7:R63" si="5">P7+Q7</f>
        <v>-4131.2523489402884</v>
      </c>
      <c r="T7" s="27">
        <v>36927.044625944713</v>
      </c>
      <c r="U7" s="27">
        <v>3376.8865168141624</v>
      </c>
      <c r="V7" s="12"/>
      <c r="W7" s="122">
        <v>96855.424300418323</v>
      </c>
      <c r="X7" s="122">
        <v>13912.503162511433</v>
      </c>
      <c r="Y7" s="12"/>
      <c r="Z7" s="108">
        <f t="shared" si="0"/>
        <v>-19759.021113789757</v>
      </c>
      <c r="AB7" s="108">
        <v>35930.594413892482</v>
      </c>
      <c r="AC7" s="145"/>
      <c r="AD7" s="12">
        <f t="shared" ref="AD7:AD63" si="6">SUM(N7+R7+T7+U7)</f>
        <v>-9003.5328113854284</v>
      </c>
      <c r="AE7" s="108" t="e">
        <f t="shared" ref="AE7:AE63" si="7">($C$65*0.1)*(-$D7+$E7)</f>
        <v>#REF!</v>
      </c>
      <c r="AF7" s="108">
        <f t="shared" si="1"/>
        <v>0</v>
      </c>
      <c r="AG7" s="108" t="e">
        <f>#REF!</f>
        <v>#REF!</v>
      </c>
      <c r="AH7" s="145"/>
      <c r="AI7" s="145"/>
    </row>
    <row r="8" spans="1:35" s="2" customFormat="1" ht="15.75" x14ac:dyDescent="0.5">
      <c r="A8" s="19">
        <v>1</v>
      </c>
      <c r="B8" s="32" t="s">
        <v>5</v>
      </c>
      <c r="C8" s="124" t="e">
        <f>VLOOKUP($B8,#REF!,8,FALSE)</f>
        <v>#REF!</v>
      </c>
      <c r="D8" s="33">
        <v>1.4442962559631245E-3</v>
      </c>
      <c r="E8" s="33">
        <v>1.2438279243548278E-3</v>
      </c>
      <c r="F8" s="181">
        <f t="shared" si="2"/>
        <v>0.86119999218954213</v>
      </c>
      <c r="G8" s="119"/>
      <c r="H8" s="27">
        <v>-832196.55010908679</v>
      </c>
      <c r="I8" s="27">
        <v>716687.66245410929</v>
      </c>
      <c r="J8" s="37">
        <f t="shared" si="3"/>
        <v>-115508.8876549775</v>
      </c>
      <c r="L8" s="108">
        <v>266427.94139680412</v>
      </c>
      <c r="M8" s="108">
        <v>-309368.25802730123</v>
      </c>
      <c r="N8" s="108">
        <f t="shared" si="4"/>
        <v>-42940.316630497109</v>
      </c>
      <c r="P8" s="108">
        <v>24364.173524281978</v>
      </c>
      <c r="Q8" s="108">
        <v>-28290.958830988533</v>
      </c>
      <c r="R8" s="108">
        <f t="shared" si="5"/>
        <v>-3926.7853067065553</v>
      </c>
      <c r="T8" s="27">
        <v>266427.94139680412</v>
      </c>
      <c r="U8" s="27">
        <v>24364.173524281985</v>
      </c>
      <c r="V8" s="12"/>
      <c r="W8" s="122">
        <v>120522.5557303275</v>
      </c>
      <c r="X8" s="122">
        <v>-189890.54373203573</v>
      </c>
      <c r="Y8" s="12"/>
      <c r="Z8" s="108">
        <f t="shared" si="0"/>
        <v>59048.137327196717</v>
      </c>
      <c r="AB8" s="108">
        <v>-532.09458179983164</v>
      </c>
      <c r="AC8" s="145"/>
      <c r="AD8" s="12">
        <f t="shared" si="6"/>
        <v>243925.01298388245</v>
      </c>
      <c r="AE8" s="108" t="e">
        <f t="shared" si="7"/>
        <v>#REF!</v>
      </c>
      <c r="AF8" s="108">
        <f t="shared" si="1"/>
        <v>0</v>
      </c>
      <c r="AG8" s="108" t="e">
        <f>#REF!</f>
        <v>#REF!</v>
      </c>
      <c r="AH8" s="145"/>
      <c r="AI8" s="145"/>
    </row>
    <row r="9" spans="1:35" s="2" customFormat="1" ht="15.75" x14ac:dyDescent="0.5">
      <c r="A9" s="19">
        <v>2</v>
      </c>
      <c r="B9" s="32" t="s">
        <v>19</v>
      </c>
      <c r="C9" s="124" t="e">
        <f>VLOOKUP($B9,#REF!,8,FALSE)</f>
        <v>#REF!</v>
      </c>
      <c r="D9" s="33">
        <v>5.0592650856421334E-3</v>
      </c>
      <c r="E9" s="33">
        <v>5.5956308404362326E-3</v>
      </c>
      <c r="F9" s="181">
        <f t="shared" si="2"/>
        <v>1.1060165351517695</v>
      </c>
      <c r="G9" s="119"/>
      <c r="H9" s="27">
        <v>-2915124.1879742388</v>
      </c>
      <c r="I9" s="27">
        <v>3224175.5539203826</v>
      </c>
      <c r="J9" s="37">
        <f t="shared" si="3"/>
        <v>309051.36594614387</v>
      </c>
      <c r="L9" s="108">
        <v>1198584.1260214411</v>
      </c>
      <c r="M9" s="108">
        <v>-1083694.5813445449</v>
      </c>
      <c r="N9" s="108">
        <f t="shared" si="4"/>
        <v>114889.54467689618</v>
      </c>
      <c r="P9" s="108">
        <v>109607.54144905366</v>
      </c>
      <c r="Q9" s="108">
        <v>-99101.17793493309</v>
      </c>
      <c r="R9" s="108">
        <f t="shared" si="5"/>
        <v>10506.363514120574</v>
      </c>
      <c r="T9" s="27">
        <v>1198584.1260214411</v>
      </c>
      <c r="U9" s="27">
        <v>109607.54144905369</v>
      </c>
      <c r="V9" s="12"/>
      <c r="W9" s="122">
        <v>-142440.13263346534</v>
      </c>
      <c r="X9" s="122">
        <v>-1224899.8633586462</v>
      </c>
      <c r="Y9" s="12"/>
      <c r="Z9" s="108">
        <f t="shared" si="0"/>
        <v>375298.94561554398</v>
      </c>
      <c r="AB9" s="108">
        <v>-2179.726481020647</v>
      </c>
      <c r="AC9" s="145"/>
      <c r="AD9" s="12">
        <f t="shared" si="6"/>
        <v>1433587.5756615116</v>
      </c>
      <c r="AE9" s="108" t="e">
        <f t="shared" si="7"/>
        <v>#REF!</v>
      </c>
      <c r="AF9" s="108">
        <f t="shared" si="1"/>
        <v>0</v>
      </c>
      <c r="AG9" s="108" t="e">
        <f>#REF!</f>
        <v>#REF!</v>
      </c>
      <c r="AH9" s="145"/>
      <c r="AI9" s="145"/>
    </row>
    <row r="10" spans="1:35" s="2" customFormat="1" ht="15.75" x14ac:dyDescent="0.5">
      <c r="A10" s="19">
        <v>1</v>
      </c>
      <c r="B10" s="32" t="s">
        <v>6</v>
      </c>
      <c r="C10" s="124" t="e">
        <f>VLOOKUP($B10,#REF!,8,FALSE)</f>
        <v>#REF!</v>
      </c>
      <c r="D10" s="33">
        <v>1.3543268398416262E-3</v>
      </c>
      <c r="E10" s="33">
        <v>1.1745169526175077E-3</v>
      </c>
      <c r="F10" s="181">
        <f t="shared" si="2"/>
        <v>0.86723301795809837</v>
      </c>
      <c r="G10" s="119"/>
      <c r="H10" s="27">
        <v>-780356.60563612171</v>
      </c>
      <c r="I10" s="27">
        <v>676751.01418935123</v>
      </c>
      <c r="J10" s="37">
        <f t="shared" si="3"/>
        <v>-103605.59144677047</v>
      </c>
      <c r="L10" s="108">
        <v>251581.53125067014</v>
      </c>
      <c r="M10" s="108">
        <v>-290096.80909407628</v>
      </c>
      <c r="N10" s="108">
        <f t="shared" si="4"/>
        <v>-38515.277843406133</v>
      </c>
      <c r="P10" s="108">
        <v>23006.506189854994</v>
      </c>
      <c r="Q10" s="108">
        <v>-26528.632689774491</v>
      </c>
      <c r="R10" s="108">
        <f t="shared" si="5"/>
        <v>-3522.1264999194973</v>
      </c>
      <c r="T10" s="27">
        <v>251581.53125067014</v>
      </c>
      <c r="U10" s="27">
        <v>23006.506189854998</v>
      </c>
      <c r="V10" s="12"/>
      <c r="W10" s="122">
        <v>91996.392361720442</v>
      </c>
      <c r="X10" s="122">
        <v>-198897.95742532657</v>
      </c>
      <c r="Y10" s="12"/>
      <c r="Z10" s="108">
        <f t="shared" si="0"/>
        <v>22043.476586822886</v>
      </c>
      <c r="AB10" s="108">
        <v>-507.36231534647993</v>
      </c>
      <c r="AC10" s="145"/>
      <c r="AD10" s="12">
        <f t="shared" si="6"/>
        <v>232550.63309719949</v>
      </c>
      <c r="AE10" s="108" t="e">
        <f t="shared" si="7"/>
        <v>#REF!</v>
      </c>
      <c r="AF10" s="108">
        <f t="shared" si="1"/>
        <v>0</v>
      </c>
      <c r="AG10" s="108" t="e">
        <f>#REF!</f>
        <v>#REF!</v>
      </c>
      <c r="AH10" s="145"/>
      <c r="AI10" s="145"/>
    </row>
    <row r="11" spans="1:35" s="2" customFormat="1" ht="15.75" x14ac:dyDescent="0.5">
      <c r="A11" s="19">
        <v>1</v>
      </c>
      <c r="B11" s="32" t="s">
        <v>7</v>
      </c>
      <c r="C11" s="124" t="e">
        <f>VLOOKUP($B11,#REF!,8,FALSE)</f>
        <v>#REF!</v>
      </c>
      <c r="D11" s="33">
        <v>9.4988806197328834E-4</v>
      </c>
      <c r="E11" s="33">
        <v>7.8385403573127889E-4</v>
      </c>
      <c r="F11" s="181">
        <f t="shared" si="2"/>
        <v>0.82520674499572932</v>
      </c>
      <c r="G11" s="119"/>
      <c r="H11" s="27">
        <v>-547320.92872236855</v>
      </c>
      <c r="I11" s="27">
        <v>451652.92205902521</v>
      </c>
      <c r="J11" s="37">
        <f t="shared" si="3"/>
        <v>-95668.006663343345</v>
      </c>
      <c r="L11" s="108">
        <v>167901.53445363994</v>
      </c>
      <c r="M11" s="108">
        <v>-203466.02287467834</v>
      </c>
      <c r="N11" s="108">
        <f t="shared" si="4"/>
        <v>-35564.488421038404</v>
      </c>
      <c r="P11" s="108">
        <v>15354.178315438363</v>
      </c>
      <c r="Q11" s="108">
        <v>-18606.462451440369</v>
      </c>
      <c r="R11" s="108">
        <f t="shared" si="5"/>
        <v>-3252.2841360020066</v>
      </c>
      <c r="T11" s="27">
        <v>167901.53445363994</v>
      </c>
      <c r="U11" s="27">
        <v>15354.178315438367</v>
      </c>
      <c r="V11" s="12"/>
      <c r="W11" s="122">
        <v>69028.80050388939</v>
      </c>
      <c r="X11" s="122">
        <v>-135035.6510262556</v>
      </c>
      <c r="Y11" s="12"/>
      <c r="Z11" s="108">
        <f t="shared" si="0"/>
        <v>-17235.916973671672</v>
      </c>
      <c r="AB11" s="108">
        <v>160044.42837740411</v>
      </c>
      <c r="AC11" s="145"/>
      <c r="AD11" s="12">
        <f t="shared" si="6"/>
        <v>144438.94021203788</v>
      </c>
      <c r="AE11" s="108" t="e">
        <f t="shared" si="7"/>
        <v>#REF!</v>
      </c>
      <c r="AF11" s="108">
        <f t="shared" si="1"/>
        <v>0</v>
      </c>
      <c r="AG11" s="108" t="e">
        <f>#REF!</f>
        <v>#REF!</v>
      </c>
      <c r="AH11" s="145"/>
      <c r="AI11" s="145"/>
    </row>
    <row r="12" spans="1:35" s="2" customFormat="1" ht="15.75" x14ac:dyDescent="0.5">
      <c r="A12" s="19">
        <v>3</v>
      </c>
      <c r="B12" s="32" t="s">
        <v>41</v>
      </c>
      <c r="C12" s="124" t="e">
        <f>VLOOKUP($B12,#REF!,8,FALSE)</f>
        <v>#REF!</v>
      </c>
      <c r="D12" s="33">
        <v>2.2843967211694044E-2</v>
      </c>
      <c r="E12" s="33">
        <v>2.1804550170202264E-2</v>
      </c>
      <c r="F12" s="181">
        <f t="shared" si="2"/>
        <v>0.95449927624831765</v>
      </c>
      <c r="G12" s="119"/>
      <c r="H12" s="27">
        <v>-13162583.940716283</v>
      </c>
      <c r="I12" s="27">
        <v>12563676.844971418</v>
      </c>
      <c r="J12" s="37">
        <f t="shared" si="3"/>
        <v>-598907.09574486502</v>
      </c>
      <c r="L12" s="108">
        <v>4670534.6464573247</v>
      </c>
      <c r="M12" s="108">
        <v>-4893177.7767448639</v>
      </c>
      <c r="N12" s="108">
        <f t="shared" si="4"/>
        <v>-222643.13028753921</v>
      </c>
      <c r="P12" s="108">
        <v>427108.79339783185</v>
      </c>
      <c r="Q12" s="108">
        <v>-447468.9546927613</v>
      </c>
      <c r="R12" s="108">
        <f t="shared" si="5"/>
        <v>-20360.16129492945</v>
      </c>
      <c r="T12" s="27">
        <v>4670534.6464573247</v>
      </c>
      <c r="U12" s="27">
        <v>427108.79339783191</v>
      </c>
      <c r="V12" s="12"/>
      <c r="W12" s="122">
        <v>-85464.44728089869</v>
      </c>
      <c r="X12" s="122">
        <v>-4977901.3104664553</v>
      </c>
      <c r="Y12" s="12"/>
      <c r="Z12" s="108">
        <f t="shared" si="0"/>
        <v>-807632.70521953143</v>
      </c>
      <c r="AB12" s="108">
        <v>-8738.4957629702749</v>
      </c>
      <c r="AC12" s="145"/>
      <c r="AD12" s="12">
        <f t="shared" si="6"/>
        <v>4854640.1482726876</v>
      </c>
      <c r="AE12" s="108" t="e">
        <f t="shared" si="7"/>
        <v>#REF!</v>
      </c>
      <c r="AF12" s="108">
        <f t="shared" si="1"/>
        <v>0</v>
      </c>
      <c r="AG12" s="108" t="e">
        <f>#REF!</f>
        <v>#REF!</v>
      </c>
      <c r="AH12" s="145"/>
      <c r="AI12" s="145"/>
    </row>
    <row r="13" spans="1:35" s="2" customFormat="1" ht="15.75" x14ac:dyDescent="0.5">
      <c r="A13" s="19">
        <v>1</v>
      </c>
      <c r="B13" s="32" t="s">
        <v>8</v>
      </c>
      <c r="C13" s="124" t="e">
        <f>VLOOKUP($B13,#REF!,8,FALSE)</f>
        <v>#REF!</v>
      </c>
      <c r="D13" s="33">
        <v>1.5288713465251007E-3</v>
      </c>
      <c r="E13" s="33">
        <v>1.3619967095452399E-3</v>
      </c>
      <c r="F13" s="181">
        <f t="shared" si="2"/>
        <v>0.89085109263173634</v>
      </c>
      <c r="G13" s="119"/>
      <c r="H13" s="27">
        <v>-880928.31016194751</v>
      </c>
      <c r="I13" s="27">
        <v>784775.9476379999</v>
      </c>
      <c r="J13" s="37">
        <f t="shared" si="3"/>
        <v>-96152.36252394761</v>
      </c>
      <c r="L13" s="108">
        <v>291739.69518459041</v>
      </c>
      <c r="M13" s="108">
        <v>-327484.24242567655</v>
      </c>
      <c r="N13" s="108">
        <f t="shared" si="4"/>
        <v>-35744.54724108614</v>
      </c>
      <c r="P13" s="108">
        <v>26678.870542381312</v>
      </c>
      <c r="Q13" s="108">
        <v>-29947.620610271777</v>
      </c>
      <c r="R13" s="108">
        <f t="shared" si="5"/>
        <v>-3268.7500678904653</v>
      </c>
      <c r="T13" s="27">
        <v>291739.69518459041</v>
      </c>
      <c r="U13" s="27">
        <v>26678.870542381319</v>
      </c>
      <c r="V13" s="12"/>
      <c r="W13" s="122">
        <v>113801.93083211849</v>
      </c>
      <c r="X13" s="122">
        <v>-214668.89018047019</v>
      </c>
      <c r="Y13" s="12"/>
      <c r="Z13" s="108">
        <f t="shared" si="0"/>
        <v>82385.94654569577</v>
      </c>
      <c r="AB13" s="108">
        <v>-586.90156768115742</v>
      </c>
      <c r="AC13" s="145"/>
      <c r="AD13" s="12">
        <f t="shared" si="6"/>
        <v>279405.26841799513</v>
      </c>
      <c r="AE13" s="108" t="e">
        <f t="shared" si="7"/>
        <v>#REF!</v>
      </c>
      <c r="AF13" s="108">
        <f t="shared" si="1"/>
        <v>0</v>
      </c>
      <c r="AG13" s="108" t="e">
        <f>#REF!</f>
        <v>#REF!</v>
      </c>
      <c r="AH13" s="145"/>
      <c r="AI13" s="145"/>
    </row>
    <row r="14" spans="1:35" s="2" customFormat="1" ht="15.75" x14ac:dyDescent="0.5">
      <c r="A14" s="19">
        <v>2</v>
      </c>
      <c r="B14" s="32" t="s">
        <v>20</v>
      </c>
      <c r="C14" s="124" t="e">
        <f>VLOOKUP($B14,#REF!,8,FALSE)</f>
        <v>#REF!</v>
      </c>
      <c r="D14" s="33">
        <v>4.0825754445628524E-3</v>
      </c>
      <c r="E14" s="33">
        <v>3.7310417880977815E-3</v>
      </c>
      <c r="F14" s="181">
        <f t="shared" si="2"/>
        <v>0.91389414323420748</v>
      </c>
      <c r="G14" s="119"/>
      <c r="H14" s="27">
        <v>-2352360.318388876</v>
      </c>
      <c r="I14" s="27">
        <v>2149808.3177521485</v>
      </c>
      <c r="J14" s="37">
        <f t="shared" si="3"/>
        <v>-202552.00063672755</v>
      </c>
      <c r="L14" s="108">
        <v>799189.15101054485</v>
      </c>
      <c r="M14" s="108">
        <v>-874487.66022536287</v>
      </c>
      <c r="N14" s="108">
        <f t="shared" si="4"/>
        <v>-75298.509214818012</v>
      </c>
      <c r="P14" s="108">
        <v>73083.862945683053</v>
      </c>
      <c r="Q14" s="108">
        <v>-79969.724597472959</v>
      </c>
      <c r="R14" s="108">
        <f t="shared" si="5"/>
        <v>-6885.8616517899063</v>
      </c>
      <c r="T14" s="27">
        <v>799189.15101054485</v>
      </c>
      <c r="U14" s="27">
        <v>73083.862945683068</v>
      </c>
      <c r="V14" s="12"/>
      <c r="W14" s="122">
        <v>126637.47597616143</v>
      </c>
      <c r="X14" s="122">
        <v>-748948.03752098046</v>
      </c>
      <c r="Y14" s="12"/>
      <c r="Z14" s="108">
        <f t="shared" si="0"/>
        <v>-34773.919091926655</v>
      </c>
      <c r="AB14" s="108">
        <v>-1519.8284617548413</v>
      </c>
      <c r="AC14" s="145"/>
      <c r="AD14" s="12">
        <f t="shared" si="6"/>
        <v>790088.64308962005</v>
      </c>
      <c r="AE14" s="108" t="e">
        <f t="shared" si="7"/>
        <v>#REF!</v>
      </c>
      <c r="AF14" s="108">
        <f t="shared" si="1"/>
        <v>0</v>
      </c>
      <c r="AG14" s="108" t="e">
        <f>#REF!</f>
        <v>#REF!</v>
      </c>
      <c r="AH14" s="145"/>
      <c r="AI14" s="145"/>
    </row>
    <row r="15" spans="1:35" s="2" customFormat="1" ht="15.75" x14ac:dyDescent="0.5">
      <c r="A15" s="19">
        <v>3</v>
      </c>
      <c r="B15" s="32" t="s">
        <v>42</v>
      </c>
      <c r="C15" s="124" t="e">
        <f>VLOOKUP($B15,#REF!,8,FALSE)</f>
        <v>#REF!</v>
      </c>
      <c r="D15" s="33">
        <v>2.3919827792554686E-2</v>
      </c>
      <c r="E15" s="33">
        <v>2.9126924918133106E-2</v>
      </c>
      <c r="F15" s="181">
        <f t="shared" si="2"/>
        <v>1.2176895741364486</v>
      </c>
      <c r="G15" s="119"/>
      <c r="H15" s="27">
        <v>-13782489.628412981</v>
      </c>
      <c r="I15" s="27">
        <v>16782793.926162221</v>
      </c>
      <c r="J15" s="37">
        <f t="shared" si="3"/>
        <v>3000304.29774924</v>
      </c>
      <c r="L15" s="108">
        <v>6238987.3174641114</v>
      </c>
      <c r="M15" s="108">
        <v>-5123627.1131652128</v>
      </c>
      <c r="N15" s="108">
        <f t="shared" si="4"/>
        <v>1115360.2042988986</v>
      </c>
      <c r="P15" s="108">
        <v>570539.89465803653</v>
      </c>
      <c r="Q15" s="108">
        <v>-468542.97415057325</v>
      </c>
      <c r="R15" s="108">
        <f t="shared" si="5"/>
        <v>101996.92050746328</v>
      </c>
      <c r="T15" s="27">
        <v>6238987.3174641114</v>
      </c>
      <c r="U15" s="27">
        <v>570539.89465803665</v>
      </c>
      <c r="V15" s="12"/>
      <c r="W15" s="122">
        <v>-1478040.0896202736</v>
      </c>
      <c r="X15" s="122">
        <v>-6588853.6881785467</v>
      </c>
      <c r="Y15" s="12"/>
      <c r="Z15" s="108">
        <f t="shared" si="0"/>
        <v>2960294.8568789288</v>
      </c>
      <c r="AB15" s="108">
        <v>-11029.780685796548</v>
      </c>
      <c r="AC15" s="145"/>
      <c r="AD15" s="12">
        <f t="shared" si="6"/>
        <v>8026884.3369285092</v>
      </c>
      <c r="AE15" s="108" t="e">
        <f t="shared" si="7"/>
        <v>#REF!</v>
      </c>
      <c r="AF15" s="108">
        <f t="shared" si="1"/>
        <v>0</v>
      </c>
      <c r="AG15" s="108" t="e">
        <f>#REF!</f>
        <v>#REF!</v>
      </c>
      <c r="AH15" s="145"/>
      <c r="AI15" s="145"/>
    </row>
    <row r="16" spans="1:35" s="2" customFormat="1" ht="15.75" x14ac:dyDescent="0.5">
      <c r="A16" s="19">
        <v>1</v>
      </c>
      <c r="B16" s="32" t="s">
        <v>9</v>
      </c>
      <c r="C16" s="124" t="e">
        <f>VLOOKUP($B16,#REF!,8,FALSE)</f>
        <v>#REF!</v>
      </c>
      <c r="D16" s="33">
        <v>1.2577035030728423E-3</v>
      </c>
      <c r="E16" s="33">
        <v>8.1627240496361965E-4</v>
      </c>
      <c r="F16" s="181">
        <f t="shared" si="2"/>
        <v>0.64901815330027246</v>
      </c>
      <c r="G16" s="119"/>
      <c r="H16" s="27">
        <v>-724682.70411694236</v>
      </c>
      <c r="I16" s="27">
        <v>470332.23035462556</v>
      </c>
      <c r="J16" s="37">
        <f t="shared" si="3"/>
        <v>-254350.4737623168</v>
      </c>
      <c r="L16" s="108">
        <v>174845.54914320732</v>
      </c>
      <c r="M16" s="108">
        <v>-269400.09035820275</v>
      </c>
      <c r="N16" s="108">
        <f t="shared" si="4"/>
        <v>-94554.541214995435</v>
      </c>
      <c r="P16" s="108">
        <v>15989.19121222687</v>
      </c>
      <c r="Q16" s="108">
        <v>-24635.969164994018</v>
      </c>
      <c r="R16" s="108">
        <f t="shared" si="5"/>
        <v>-8646.7779527671482</v>
      </c>
      <c r="T16" s="27">
        <v>174845.54914320732</v>
      </c>
      <c r="U16" s="27">
        <v>15989.191212226873</v>
      </c>
      <c r="V16" s="12"/>
      <c r="W16" s="122">
        <v>171551.01840390259</v>
      </c>
      <c r="X16" s="122">
        <v>-99336.292426595115</v>
      </c>
      <c r="Y16" s="12"/>
      <c r="Z16" s="108">
        <f t="shared" si="0"/>
        <v>-94502.326597337727</v>
      </c>
      <c r="AB16" s="108">
        <v>63519.150961623527</v>
      </c>
      <c r="AC16" s="145"/>
      <c r="AD16" s="12">
        <f t="shared" si="6"/>
        <v>87633.4211876716</v>
      </c>
      <c r="AE16" s="108" t="e">
        <f t="shared" si="7"/>
        <v>#REF!</v>
      </c>
      <c r="AF16" s="108">
        <f t="shared" si="1"/>
        <v>0</v>
      </c>
      <c r="AG16" s="108" t="e">
        <f>#REF!</f>
        <v>#REF!</v>
      </c>
      <c r="AH16" s="145"/>
      <c r="AI16" s="145"/>
    </row>
    <row r="17" spans="1:35" s="2" customFormat="1" ht="15.75" x14ac:dyDescent="0.5">
      <c r="A17" s="19">
        <v>2</v>
      </c>
      <c r="B17" s="32" t="s">
        <v>21</v>
      </c>
      <c r="C17" s="124" t="e">
        <f>VLOOKUP($B17,#REF!,8,FALSE)</f>
        <v>#REF!</v>
      </c>
      <c r="D17" s="33">
        <v>3.4751702065785651E-3</v>
      </c>
      <c r="E17" s="33">
        <v>3.4352973033208896E-3</v>
      </c>
      <c r="F17" s="181">
        <f t="shared" si="2"/>
        <v>0.98852634521837368</v>
      </c>
      <c r="G17" s="119"/>
      <c r="H17" s="27">
        <v>-2002376.3441995676</v>
      </c>
      <c r="I17" s="27">
        <v>1979401.7692833263</v>
      </c>
      <c r="J17" s="37">
        <f t="shared" si="3"/>
        <v>-22974.574916241225</v>
      </c>
      <c r="L17" s="108">
        <v>735840.68237133452</v>
      </c>
      <c r="M17" s="108">
        <v>-744381.45824912854</v>
      </c>
      <c r="N17" s="108">
        <f t="shared" si="4"/>
        <v>-8540.775877794018</v>
      </c>
      <c r="P17" s="108">
        <v>67290.802824693179</v>
      </c>
      <c r="Q17" s="108">
        <v>-68071.835566332928</v>
      </c>
      <c r="R17" s="108">
        <f t="shared" si="5"/>
        <v>-781.03274163974856</v>
      </c>
      <c r="T17" s="27">
        <v>735840.68237133452</v>
      </c>
      <c r="U17" s="27">
        <v>67290.802824693194</v>
      </c>
      <c r="V17" s="12"/>
      <c r="W17" s="122">
        <v>74090.355391280027</v>
      </c>
      <c r="X17" s="122">
        <v>-670933.41145130876</v>
      </c>
      <c r="Y17" s="12"/>
      <c r="Z17" s="108">
        <f t="shared" si="0"/>
        <v>173992.04560032394</v>
      </c>
      <c r="AB17" s="108">
        <v>-1388.2741314257028</v>
      </c>
      <c r="AC17" s="145"/>
      <c r="AD17" s="12">
        <f t="shared" si="6"/>
        <v>793809.67657659389</v>
      </c>
      <c r="AE17" s="108" t="e">
        <f t="shared" si="7"/>
        <v>#REF!</v>
      </c>
      <c r="AF17" s="108">
        <f t="shared" si="1"/>
        <v>0</v>
      </c>
      <c r="AG17" s="108" t="e">
        <f>#REF!</f>
        <v>#REF!</v>
      </c>
      <c r="AH17" s="145"/>
      <c r="AI17" s="145"/>
    </row>
    <row r="18" spans="1:35" s="2" customFormat="1" ht="15.75" x14ac:dyDescent="0.5">
      <c r="A18" s="19">
        <v>2</v>
      </c>
      <c r="B18" s="32" t="s">
        <v>22</v>
      </c>
      <c r="C18" s="124" t="e">
        <f>VLOOKUP($B18,#REF!,8,FALSE)</f>
        <v>#REF!</v>
      </c>
      <c r="D18" s="33">
        <v>4.369551158122615E-3</v>
      </c>
      <c r="E18" s="33">
        <v>4.8539533597121501E-3</v>
      </c>
      <c r="F18" s="181">
        <f t="shared" si="2"/>
        <v>1.1108585719814892</v>
      </c>
      <c r="G18" s="119"/>
      <c r="H18" s="27">
        <v>-2517714.343093642</v>
      </c>
      <c r="I18" s="27">
        <v>2796824.5598263158</v>
      </c>
      <c r="J18" s="37">
        <f t="shared" si="3"/>
        <v>279110.21673267381</v>
      </c>
      <c r="L18" s="108">
        <v>1039716.8096503426</v>
      </c>
      <c r="M18" s="108">
        <v>-935957.85806986399</v>
      </c>
      <c r="N18" s="108">
        <f t="shared" si="4"/>
        <v>103758.95158047858</v>
      </c>
      <c r="P18" s="108">
        <v>95079.51993933646</v>
      </c>
      <c r="Q18" s="108">
        <v>-85591.021519272967</v>
      </c>
      <c r="R18" s="108">
        <f t="shared" si="5"/>
        <v>9488.4984200634935</v>
      </c>
      <c r="T18" s="27">
        <v>1039716.8096503426</v>
      </c>
      <c r="U18" s="27">
        <v>95079.519939336475</v>
      </c>
      <c r="V18" s="12"/>
      <c r="W18" s="122">
        <v>-209144.8263457485</v>
      </c>
      <c r="X18" s="122">
        <v>-1143289.5534280525</v>
      </c>
      <c r="Y18" s="12"/>
      <c r="Z18" s="108">
        <f t="shared" si="0"/>
        <v>174719.61654909397</v>
      </c>
      <c r="AB18" s="108">
        <v>-1872.2815004051429</v>
      </c>
      <c r="AC18" s="145"/>
      <c r="AD18" s="12">
        <f t="shared" si="6"/>
        <v>1248043.7795902211</v>
      </c>
      <c r="AE18" s="108" t="e">
        <f t="shared" si="7"/>
        <v>#REF!</v>
      </c>
      <c r="AF18" s="108">
        <f t="shared" si="1"/>
        <v>0</v>
      </c>
      <c r="AG18" s="108" t="e">
        <f>#REF!</f>
        <v>#REF!</v>
      </c>
      <c r="AH18" s="145"/>
      <c r="AI18" s="145"/>
    </row>
    <row r="19" spans="1:35" s="2" customFormat="1" ht="15.75" x14ac:dyDescent="0.5">
      <c r="A19" s="19">
        <v>1</v>
      </c>
      <c r="B19" s="32" t="s">
        <v>10</v>
      </c>
      <c r="C19" s="124" t="e">
        <f>VLOOKUP($B19,#REF!,8,FALSE)</f>
        <v>#REF!</v>
      </c>
      <c r="D19" s="33">
        <v>1.1957484093201114E-3</v>
      </c>
      <c r="E19" s="33">
        <v>8.3227418190880034E-4</v>
      </c>
      <c r="F19" s="181">
        <f t="shared" si="2"/>
        <v>0.6960278394867544</v>
      </c>
      <c r="G19" s="119"/>
      <c r="H19" s="27">
        <v>-688984.47733705922</v>
      </c>
      <c r="I19" s="27">
        <v>479552.37720082392</v>
      </c>
      <c r="J19" s="37">
        <f t="shared" si="3"/>
        <v>-209432.1001362353</v>
      </c>
      <c r="L19" s="108">
        <v>178273.12976486504</v>
      </c>
      <c r="M19" s="108">
        <v>-256129.30927636783</v>
      </c>
      <c r="N19" s="108">
        <f t="shared" si="4"/>
        <v>-77856.179511502793</v>
      </c>
      <c r="P19" s="108">
        <v>16302.634947132132</v>
      </c>
      <c r="Q19" s="108">
        <v>-23422.389195170086</v>
      </c>
      <c r="R19" s="108">
        <f t="shared" si="5"/>
        <v>-7119.7542480379543</v>
      </c>
      <c r="T19" s="27">
        <v>178273.12976486504</v>
      </c>
      <c r="U19" s="27">
        <v>16302.634947132135</v>
      </c>
      <c r="V19" s="12"/>
      <c r="W19" s="122">
        <v>160205.8869800964</v>
      </c>
      <c r="X19" s="122">
        <v>-97312.288868535106</v>
      </c>
      <c r="Y19" s="12"/>
      <c r="Z19" s="108">
        <f t="shared" si="0"/>
        <v>-36938.671072217563</v>
      </c>
      <c r="AB19" s="108">
        <v>-435.77122902944285</v>
      </c>
      <c r="AC19" s="145"/>
      <c r="AD19" s="12">
        <f t="shared" si="6"/>
        <v>109599.83095245642</v>
      </c>
      <c r="AE19" s="108" t="e">
        <f t="shared" si="7"/>
        <v>#REF!</v>
      </c>
      <c r="AF19" s="108">
        <f t="shared" si="1"/>
        <v>0</v>
      </c>
      <c r="AG19" s="108" t="e">
        <f>#REF!</f>
        <v>#REF!</v>
      </c>
      <c r="AH19" s="145"/>
      <c r="AI19" s="145"/>
    </row>
    <row r="20" spans="1:35" s="2" customFormat="1" ht="15.75" x14ac:dyDescent="0.5">
      <c r="A20" s="19">
        <v>3</v>
      </c>
      <c r="B20" s="32" t="s">
        <v>43</v>
      </c>
      <c r="C20" s="124" t="e">
        <f>VLOOKUP($B20,#REF!,8,FALSE)</f>
        <v>#REF!</v>
      </c>
      <c r="D20" s="33">
        <v>1.9980580583909033E-2</v>
      </c>
      <c r="E20" s="33">
        <v>2.9836131154273825E-2</v>
      </c>
      <c r="F20" s="181">
        <f t="shared" si="2"/>
        <v>1.4932564661460219</v>
      </c>
      <c r="G20" s="119"/>
      <c r="H20" s="27">
        <v>-11512714.349603796</v>
      </c>
      <c r="I20" s="27">
        <v>17191435.14543796</v>
      </c>
      <c r="J20" s="37">
        <f t="shared" si="3"/>
        <v>5678720.7958341632</v>
      </c>
      <c r="L20" s="108">
        <v>6390899.2932454534</v>
      </c>
      <c r="M20" s="108">
        <v>-4279840.3610733142</v>
      </c>
      <c r="N20" s="108">
        <f t="shared" si="4"/>
        <v>2111058.9321721392</v>
      </c>
      <c r="P20" s="108">
        <v>584431.86754552263</v>
      </c>
      <c r="Q20" s="108">
        <v>-391380.77135128411</v>
      </c>
      <c r="R20" s="108">
        <f t="shared" si="5"/>
        <v>193051.09619423852</v>
      </c>
      <c r="T20" s="27">
        <v>6390899.2932454534</v>
      </c>
      <c r="U20" s="27">
        <v>584431.86754552275</v>
      </c>
      <c r="V20" s="12"/>
      <c r="W20" s="122">
        <v>-3840860.679190347</v>
      </c>
      <c r="X20" s="122">
        <v>-8087403.6183860889</v>
      </c>
      <c r="Y20" s="12"/>
      <c r="Z20" s="108">
        <f t="shared" si="0"/>
        <v>3029897.6874150811</v>
      </c>
      <c r="AB20" s="108">
        <v>-10403.610424380649</v>
      </c>
      <c r="AC20" s="145"/>
      <c r="AD20" s="12">
        <f t="shared" si="6"/>
        <v>9279441.1891573537</v>
      </c>
      <c r="AE20" s="108" t="e">
        <f t="shared" si="7"/>
        <v>#REF!</v>
      </c>
      <c r="AF20" s="108">
        <f t="shared" si="1"/>
        <v>0</v>
      </c>
      <c r="AG20" s="108" t="e">
        <f>#REF!</f>
        <v>#REF!</v>
      </c>
      <c r="AH20" s="145"/>
      <c r="AI20" s="145"/>
    </row>
    <row r="21" spans="1:35" s="2" customFormat="1" ht="15.75" x14ac:dyDescent="0.5">
      <c r="A21" s="19">
        <v>2</v>
      </c>
      <c r="B21" s="32" t="s">
        <v>23</v>
      </c>
      <c r="C21" s="124" t="e">
        <f>VLOOKUP($B21,#REF!,8,FALSE)</f>
        <v>#REF!</v>
      </c>
      <c r="D21" s="33">
        <v>3.3082607946469784E-3</v>
      </c>
      <c r="E21" s="33">
        <v>3.8893746480514399E-3</v>
      </c>
      <c r="F21" s="181">
        <f t="shared" si="2"/>
        <v>1.1756553940199481</v>
      </c>
      <c r="G21" s="119"/>
      <c r="H21" s="27">
        <v>-1906203.944515836</v>
      </c>
      <c r="I21" s="27">
        <v>2241038.9494721438</v>
      </c>
      <c r="J21" s="37">
        <f t="shared" si="3"/>
        <v>334835.00495630782</v>
      </c>
      <c r="L21" s="108">
        <v>833104.0496126184</v>
      </c>
      <c r="M21" s="108">
        <v>-708629.46221338271</v>
      </c>
      <c r="N21" s="108">
        <f t="shared" si="4"/>
        <v>124474.58739923569</v>
      </c>
      <c r="P21" s="108">
        <v>76185.296189761197</v>
      </c>
      <c r="Q21" s="108">
        <v>-64802.404324671115</v>
      </c>
      <c r="R21" s="108">
        <f t="shared" si="5"/>
        <v>11382.891865090081</v>
      </c>
      <c r="T21" s="27">
        <v>833104.0496126184</v>
      </c>
      <c r="U21" s="27">
        <v>76185.296189761211</v>
      </c>
      <c r="V21" s="12"/>
      <c r="W21" s="122">
        <v>-161378.23253309517</v>
      </c>
      <c r="X21" s="122">
        <v>-868608.66480518843</v>
      </c>
      <c r="Y21" s="12"/>
      <c r="Z21" s="108">
        <f t="shared" si="0"/>
        <v>349994.93268472969</v>
      </c>
      <c r="AB21" s="108">
        <v>-1427.1218405434383</v>
      </c>
      <c r="AC21" s="145"/>
      <c r="AD21" s="12">
        <f t="shared" si="6"/>
        <v>1045146.8250667055</v>
      </c>
      <c r="AE21" s="108" t="e">
        <f t="shared" si="7"/>
        <v>#REF!</v>
      </c>
      <c r="AF21" s="108">
        <f t="shared" si="1"/>
        <v>0</v>
      </c>
      <c r="AG21" s="108" t="e">
        <f>#REF!</f>
        <v>#REF!</v>
      </c>
      <c r="AH21" s="145"/>
      <c r="AI21" s="145"/>
    </row>
    <row r="22" spans="1:35" s="2" customFormat="1" ht="15.75" x14ac:dyDescent="0.5">
      <c r="A22" s="19">
        <v>2</v>
      </c>
      <c r="B22" s="32" t="s">
        <v>24</v>
      </c>
      <c r="C22" s="124" t="e">
        <f>VLOOKUP($B22,#REF!,8,FALSE)</f>
        <v>#REF!</v>
      </c>
      <c r="D22" s="33">
        <v>2.0157892392667727E-3</v>
      </c>
      <c r="E22" s="33">
        <v>1.6810668264782304E-3</v>
      </c>
      <c r="F22" s="181">
        <f t="shared" si="2"/>
        <v>0.83394969758331738</v>
      </c>
      <c r="G22" s="119"/>
      <c r="H22" s="27">
        <v>-1161488.0560264078</v>
      </c>
      <c r="I22" s="27">
        <v>968622.61306985782</v>
      </c>
      <c r="J22" s="37">
        <f t="shared" si="3"/>
        <v>-192865.44295654993</v>
      </c>
      <c r="L22" s="108">
        <v>360084.51423163695</v>
      </c>
      <c r="M22" s="108">
        <v>-431782.05505094264</v>
      </c>
      <c r="N22" s="108">
        <f t="shared" si="4"/>
        <v>-71697.540819305694</v>
      </c>
      <c r="P22" s="108">
        <v>32928.834498931516</v>
      </c>
      <c r="Q22" s="108">
        <v>-39485.396534533429</v>
      </c>
      <c r="R22" s="108">
        <f t="shared" si="5"/>
        <v>-6556.5620356019135</v>
      </c>
      <c r="T22" s="27">
        <v>360084.51423163695</v>
      </c>
      <c r="U22" s="27">
        <v>32928.834498931523</v>
      </c>
      <c r="V22" s="12"/>
      <c r="W22" s="122">
        <v>203496.34795018809</v>
      </c>
      <c r="X22" s="122">
        <v>-230049.86995752214</v>
      </c>
      <c r="Y22" s="12"/>
      <c r="Z22" s="108">
        <f t="shared" si="0"/>
        <v>95340.280911776877</v>
      </c>
      <c r="AB22" s="108">
        <v>-720.80512734144838</v>
      </c>
      <c r="AC22" s="145"/>
      <c r="AD22" s="12">
        <f t="shared" si="6"/>
        <v>314759.24587566091</v>
      </c>
      <c r="AE22" s="108" t="e">
        <f t="shared" si="7"/>
        <v>#REF!</v>
      </c>
      <c r="AF22" s="108">
        <f t="shared" si="1"/>
        <v>0</v>
      </c>
      <c r="AG22" s="108" t="e">
        <f>#REF!</f>
        <v>#REF!</v>
      </c>
      <c r="AH22" s="145"/>
      <c r="AI22" s="145"/>
    </row>
    <row r="23" spans="1:35" s="2" customFormat="1" ht="15.75" x14ac:dyDescent="0.5">
      <c r="A23" s="19">
        <v>1</v>
      </c>
      <c r="B23" s="32" t="s">
        <v>11</v>
      </c>
      <c r="C23" s="124" t="e">
        <f>VLOOKUP($B23,#REF!,8,FALSE)</f>
        <v>#REF!</v>
      </c>
      <c r="D23" s="33">
        <v>1.3125152916144862E-3</v>
      </c>
      <c r="E23" s="33">
        <v>1.0808023648553669E-3</v>
      </c>
      <c r="F23" s="181">
        <f t="shared" si="2"/>
        <v>0.82345887454454259</v>
      </c>
      <c r="G23" s="119"/>
      <c r="H23" s="27">
        <v>-756264.99282075616</v>
      </c>
      <c r="I23" s="27">
        <v>622753.11984561628</v>
      </c>
      <c r="J23" s="37">
        <f t="shared" si="3"/>
        <v>-133511.87297513988</v>
      </c>
      <c r="L23" s="108">
        <v>231507.86655201958</v>
      </c>
      <c r="M23" s="108">
        <v>-281140.77546382294</v>
      </c>
      <c r="N23" s="108">
        <f t="shared" si="4"/>
        <v>-49632.908911803359</v>
      </c>
      <c r="P23" s="108">
        <v>21170.819409324089</v>
      </c>
      <c r="Q23" s="108">
        <v>-25709.625658031477</v>
      </c>
      <c r="R23" s="108">
        <f t="shared" si="5"/>
        <v>-4538.8062487073876</v>
      </c>
      <c r="T23" s="27">
        <v>231507.86655201958</v>
      </c>
      <c r="U23" s="27">
        <v>21170.819409324093</v>
      </c>
      <c r="V23" s="12"/>
      <c r="W23" s="122">
        <v>96063.881185282895</v>
      </c>
      <c r="X23" s="122">
        <v>-185909.69709181465</v>
      </c>
      <c r="Y23" s="12"/>
      <c r="Z23" s="108">
        <f t="shared" si="0"/>
        <v>-24850.718080838706</v>
      </c>
      <c r="AB23" s="108">
        <v>-458.27839945909193</v>
      </c>
      <c r="AC23" s="145"/>
      <c r="AD23" s="12">
        <f t="shared" si="6"/>
        <v>198506.9708008329</v>
      </c>
      <c r="AE23" s="108" t="e">
        <f t="shared" si="7"/>
        <v>#REF!</v>
      </c>
      <c r="AF23" s="108">
        <f t="shared" si="1"/>
        <v>0</v>
      </c>
      <c r="AG23" s="108" t="e">
        <f>#REF!</f>
        <v>#REF!</v>
      </c>
      <c r="AH23" s="145"/>
      <c r="AI23" s="145"/>
    </row>
    <row r="24" spans="1:35" s="2" customFormat="1" ht="15.75" x14ac:dyDescent="0.5">
      <c r="A24" s="19">
        <v>4</v>
      </c>
      <c r="B24" s="32" t="s">
        <v>54</v>
      </c>
      <c r="C24" s="124" t="e">
        <f>VLOOKUP($B24,#REF!,8,FALSE)</f>
        <v>#REF!</v>
      </c>
      <c r="D24" s="33">
        <v>0.27246472850244929</v>
      </c>
      <c r="E24" s="33">
        <v>0.29809976956844841</v>
      </c>
      <c r="F24" s="181">
        <f t="shared" si="2"/>
        <v>1.0940857233407688</v>
      </c>
      <c r="G24" s="119"/>
      <c r="H24" s="27">
        <v>-156992864.96795881</v>
      </c>
      <c r="I24" s="27">
        <v>171763652.2278088</v>
      </c>
      <c r="J24" s="37">
        <f t="shared" si="3"/>
        <v>14770787.259849995</v>
      </c>
      <c r="L24" s="108">
        <v>63852970.64156165</v>
      </c>
      <c r="M24" s="108">
        <v>-58361944.845224634</v>
      </c>
      <c r="N24" s="108">
        <f t="shared" si="4"/>
        <v>5491025.7963370159</v>
      </c>
      <c r="P24" s="108">
        <v>5839195.5760934027</v>
      </c>
      <c r="Q24" s="108">
        <v>-5337054.9048602311</v>
      </c>
      <c r="R24" s="108">
        <f t="shared" si="5"/>
        <v>502140.6712331716</v>
      </c>
      <c r="T24" s="27">
        <v>63852970.64156165</v>
      </c>
      <c r="U24" s="27">
        <v>5839195.5760934036</v>
      </c>
      <c r="V24" s="12"/>
      <c r="W24" s="122">
        <v>-12632139.677246809</v>
      </c>
      <c r="X24" s="122">
        <v>-70884573.212590203</v>
      </c>
      <c r="Y24" s="12"/>
      <c r="Z24" s="108">
        <f t="shared" si="0"/>
        <v>6939407.055238232</v>
      </c>
      <c r="AB24" s="108">
        <v>-115499.58111978542</v>
      </c>
      <c r="AC24" s="145"/>
      <c r="AD24" s="12">
        <f t="shared" si="6"/>
        <v>75685332.685225248</v>
      </c>
      <c r="AE24" s="108" t="e">
        <f t="shared" si="7"/>
        <v>#REF!</v>
      </c>
      <c r="AF24" s="108">
        <f t="shared" si="1"/>
        <v>0</v>
      </c>
      <c r="AG24" s="108" t="e">
        <f>#REF!</f>
        <v>#REF!</v>
      </c>
      <c r="AH24" s="145"/>
      <c r="AI24" s="145"/>
    </row>
    <row r="25" spans="1:35" s="2" customFormat="1" ht="15.75" x14ac:dyDescent="0.5">
      <c r="A25" s="19">
        <v>2</v>
      </c>
      <c r="B25" s="32" t="s">
        <v>25</v>
      </c>
      <c r="C25" s="124" t="e">
        <f>VLOOKUP($B25,#REF!,8,FALSE)</f>
        <v>#REF!</v>
      </c>
      <c r="D25" s="33">
        <v>4.1327964729776625E-3</v>
      </c>
      <c r="E25" s="33">
        <v>4.2118614814832056E-3</v>
      </c>
      <c r="F25" s="181">
        <f t="shared" si="2"/>
        <v>1.0191311159459486</v>
      </c>
      <c r="G25" s="119"/>
      <c r="H25" s="27">
        <v>-2381297.433206684</v>
      </c>
      <c r="I25" s="27">
        <v>2426854.3105031503</v>
      </c>
      <c r="J25" s="37">
        <f t="shared" si="3"/>
        <v>45556.87729646638</v>
      </c>
      <c r="L25" s="108">
        <v>902180.72933370259</v>
      </c>
      <c r="M25" s="108">
        <v>-885245.00451181515</v>
      </c>
      <c r="N25" s="108">
        <f t="shared" si="4"/>
        <v>16935.724821887445</v>
      </c>
      <c r="P25" s="108">
        <v>82502.18698725896</v>
      </c>
      <c r="Q25" s="108">
        <v>-80953.457014881904</v>
      </c>
      <c r="R25" s="108">
        <f t="shared" si="5"/>
        <v>1548.7299723770557</v>
      </c>
      <c r="T25" s="27">
        <v>902180.72933370259</v>
      </c>
      <c r="U25" s="27">
        <v>82502.186987258974</v>
      </c>
      <c r="V25" s="12"/>
      <c r="W25" s="122">
        <v>28356.967575385002</v>
      </c>
      <c r="X25" s="122">
        <v>-857133.87087611132</v>
      </c>
      <c r="Y25" s="12"/>
      <c r="Z25" s="108">
        <f t="shared" si="0"/>
        <v>219947.34511096613</v>
      </c>
      <c r="AB25" s="108">
        <v>-1711.3915188551591</v>
      </c>
      <c r="AC25" s="145"/>
      <c r="AD25" s="12">
        <f t="shared" si="6"/>
        <v>1003167.3711152261</v>
      </c>
      <c r="AE25" s="108" t="e">
        <f t="shared" si="7"/>
        <v>#REF!</v>
      </c>
      <c r="AF25" s="108">
        <f t="shared" si="1"/>
        <v>0</v>
      </c>
      <c r="AG25" s="108" t="e">
        <f>#REF!</f>
        <v>#REF!</v>
      </c>
      <c r="AH25" s="145"/>
      <c r="AI25" s="145"/>
    </row>
    <row r="26" spans="1:35" s="2" customFormat="1" ht="15.75" x14ac:dyDescent="0.5">
      <c r="A26" s="19">
        <v>2</v>
      </c>
      <c r="B26" s="32" t="s">
        <v>26</v>
      </c>
      <c r="C26" s="124" t="e">
        <f>VLOOKUP($B26,#REF!,8,FALSE)</f>
        <v>#REF!</v>
      </c>
      <c r="D26" s="33">
        <v>9.259915935275774E-3</v>
      </c>
      <c r="E26" s="33">
        <v>5.5632256581616534E-3</v>
      </c>
      <c r="F26" s="181">
        <f t="shared" si="2"/>
        <v>0.60078576274850082</v>
      </c>
      <c r="G26" s="119"/>
      <c r="H26" s="27">
        <v>-5335518.9863715926</v>
      </c>
      <c r="I26" s="27">
        <v>3205503.8438863647</v>
      </c>
      <c r="J26" s="37">
        <f t="shared" si="3"/>
        <v>-2130015.1424852279</v>
      </c>
      <c r="L26" s="108">
        <v>1191642.9359782261</v>
      </c>
      <c r="M26" s="108">
        <v>-1983473.9933360706</v>
      </c>
      <c r="N26" s="108">
        <f t="shared" si="4"/>
        <v>-791831.05735784443</v>
      </c>
      <c r="P26" s="108">
        <v>108972.78685915864</v>
      </c>
      <c r="Q26" s="108">
        <v>-181383.77041530615</v>
      </c>
      <c r="R26" s="108">
        <f t="shared" si="5"/>
        <v>-72410.983556147505</v>
      </c>
      <c r="T26" s="27">
        <v>1191642.9359782261</v>
      </c>
      <c r="U26" s="27">
        <v>108972.78685915866</v>
      </c>
      <c r="V26" s="12"/>
      <c r="W26" s="122">
        <v>1585916.9966275827</v>
      </c>
      <c r="X26" s="122">
        <v>-411305.72432718304</v>
      </c>
      <c r="Y26" s="12"/>
      <c r="Z26" s="108">
        <f t="shared" si="0"/>
        <v>-519030.18826143554</v>
      </c>
      <c r="AB26" s="108">
        <v>-2805.7707913441336</v>
      </c>
      <c r="AC26" s="145"/>
      <c r="AD26" s="12">
        <f t="shared" si="6"/>
        <v>436373.68192339281</v>
      </c>
      <c r="AE26" s="108" t="e">
        <f t="shared" si="7"/>
        <v>#REF!</v>
      </c>
      <c r="AF26" s="108">
        <f t="shared" si="1"/>
        <v>0</v>
      </c>
      <c r="AG26" s="108" t="e">
        <f>#REF!</f>
        <v>#REF!</v>
      </c>
      <c r="AH26" s="145"/>
      <c r="AI26" s="145"/>
    </row>
    <row r="27" spans="1:35" s="2" customFormat="1" ht="15.75" x14ac:dyDescent="0.5">
      <c r="A27" s="19">
        <v>1</v>
      </c>
      <c r="B27" s="32" t="s">
        <v>12</v>
      </c>
      <c r="C27" s="124" t="e">
        <f>VLOOKUP($B27,#REF!,8,FALSE)</f>
        <v>#REF!</v>
      </c>
      <c r="D27" s="33">
        <v>6.390838265084379E-4</v>
      </c>
      <c r="E27" s="33">
        <v>5.1990866950309676E-4</v>
      </c>
      <c r="F27" s="181">
        <f t="shared" si="2"/>
        <v>0.81352186980471541</v>
      </c>
      <c r="G27" s="119"/>
      <c r="H27" s="27">
        <v>-368237.02440201788</v>
      </c>
      <c r="I27" s="27">
        <v>299568.87262285413</v>
      </c>
      <c r="J27" s="37">
        <f t="shared" si="3"/>
        <v>-68668.151779163745</v>
      </c>
      <c r="L27" s="108">
        <v>111364.43700756332</v>
      </c>
      <c r="M27" s="108">
        <v>-136891.75563810737</v>
      </c>
      <c r="N27" s="108">
        <f t="shared" si="4"/>
        <v>-25527.318630544047</v>
      </c>
      <c r="P27" s="108">
        <v>10184.001172929491</v>
      </c>
      <c r="Q27" s="108">
        <v>-12518.411060509221</v>
      </c>
      <c r="R27" s="108">
        <f t="shared" si="5"/>
        <v>-2334.4098875797299</v>
      </c>
      <c r="T27" s="27">
        <v>111364.43700756332</v>
      </c>
      <c r="U27" s="27">
        <v>10184.001172929493</v>
      </c>
      <c r="V27" s="12"/>
      <c r="W27" s="122">
        <v>43403.586534095142</v>
      </c>
      <c r="X27" s="122">
        <v>-93864.446103502705</v>
      </c>
      <c r="Y27" s="12"/>
      <c r="Z27" s="108">
        <f t="shared" si="0"/>
        <v>-25442.301686202278</v>
      </c>
      <c r="AB27" s="108">
        <v>-261.92763179362197</v>
      </c>
      <c r="AC27" s="145"/>
      <c r="AD27" s="12">
        <f t="shared" si="6"/>
        <v>93686.70966236903</v>
      </c>
      <c r="AE27" s="108" t="e">
        <f t="shared" si="7"/>
        <v>#REF!</v>
      </c>
      <c r="AF27" s="108">
        <f t="shared" si="1"/>
        <v>0</v>
      </c>
      <c r="AG27" s="108" t="e">
        <f>#REF!</f>
        <v>#REF!</v>
      </c>
      <c r="AH27" s="145"/>
      <c r="AI27" s="145"/>
    </row>
    <row r="28" spans="1:35" s="2" customFormat="1" ht="15.75" x14ac:dyDescent="0.5">
      <c r="A28" s="19">
        <v>2</v>
      </c>
      <c r="B28" s="32" t="s">
        <v>27</v>
      </c>
      <c r="C28" s="124" t="e">
        <f>VLOOKUP($B28,#REF!,8,FALSE)</f>
        <v>#REF!</v>
      </c>
      <c r="D28" s="33">
        <v>3.0399942775756333E-3</v>
      </c>
      <c r="E28" s="33">
        <v>2.8425703447971461E-3</v>
      </c>
      <c r="F28" s="181">
        <f t="shared" si="2"/>
        <v>0.93505779460350469</v>
      </c>
      <c r="G28" s="119"/>
      <c r="H28" s="27">
        <v>-1751630.0687650607</v>
      </c>
      <c r="I28" s="27">
        <v>1637875.3490606425</v>
      </c>
      <c r="J28" s="37">
        <f t="shared" si="3"/>
        <v>-113754.71970441821</v>
      </c>
      <c r="L28" s="108">
        <v>608878.5678555487</v>
      </c>
      <c r="M28" s="108">
        <v>-651166.77425670053</v>
      </c>
      <c r="N28" s="108">
        <f t="shared" si="4"/>
        <v>-42288.206401151838</v>
      </c>
      <c r="P28" s="108">
        <v>55680.432782966498</v>
      </c>
      <c r="Q28" s="108">
        <v>-59547.584228819615</v>
      </c>
      <c r="R28" s="108">
        <f t="shared" si="5"/>
        <v>-3867.1514458531165</v>
      </c>
      <c r="T28" s="27">
        <v>608878.5678555487</v>
      </c>
      <c r="U28" s="27">
        <v>55680.432782966505</v>
      </c>
      <c r="V28" s="12"/>
      <c r="W28" s="122">
        <v>142661.53116492066</v>
      </c>
      <c r="X28" s="122">
        <v>-509742.01307269605</v>
      </c>
      <c r="Y28" s="12"/>
      <c r="Z28" s="108">
        <f t="shared" si="0"/>
        <v>137568.44117931672</v>
      </c>
      <c r="AB28" s="108">
        <v>-1208.0347859709816</v>
      </c>
      <c r="AC28" s="145"/>
      <c r="AD28" s="12">
        <f t="shared" si="6"/>
        <v>618403.64279151021</v>
      </c>
      <c r="AE28" s="108" t="e">
        <f t="shared" si="7"/>
        <v>#REF!</v>
      </c>
      <c r="AF28" s="108">
        <f t="shared" si="1"/>
        <v>0</v>
      </c>
      <c r="AG28" s="108" t="e">
        <f>#REF!</f>
        <v>#REF!</v>
      </c>
      <c r="AH28" s="145"/>
      <c r="AI28" s="145"/>
    </row>
    <row r="29" spans="1:35" s="2" customFormat="1" ht="15.75" x14ac:dyDescent="0.5">
      <c r="A29" s="19">
        <v>2</v>
      </c>
      <c r="B29" s="32" t="s">
        <v>28</v>
      </c>
      <c r="C29" s="124" t="e">
        <f>VLOOKUP($B29,#REF!,8,FALSE)</f>
        <v>#REF!</v>
      </c>
      <c r="D29" s="33">
        <v>6.2710475213729328E-3</v>
      </c>
      <c r="E29" s="33">
        <v>7.0492378689085275E-3</v>
      </c>
      <c r="F29" s="181">
        <f t="shared" si="2"/>
        <v>1.1240925610726713</v>
      </c>
      <c r="G29" s="119"/>
      <c r="H29" s="27">
        <v>-3613347.394144279</v>
      </c>
      <c r="I29" s="27">
        <v>4061736.9263289045</v>
      </c>
      <c r="J29" s="37">
        <f t="shared" si="3"/>
        <v>448389.53218462551</v>
      </c>
      <c r="L29" s="108">
        <v>1509946.7515202067</v>
      </c>
      <c r="M29" s="108">
        <v>-1343258.379078082</v>
      </c>
      <c r="N29" s="108">
        <f t="shared" si="4"/>
        <v>166688.37244212464</v>
      </c>
      <c r="P29" s="108">
        <v>138080.88023197663</v>
      </c>
      <c r="Q29" s="108">
        <v>-122837.64256940928</v>
      </c>
      <c r="R29" s="108">
        <f t="shared" si="5"/>
        <v>15243.23766256735</v>
      </c>
      <c r="T29" s="27">
        <v>1509946.7515202067</v>
      </c>
      <c r="U29" s="27">
        <v>138080.88023197665</v>
      </c>
      <c r="V29" s="12"/>
      <c r="W29" s="122">
        <v>-355481.43804642372</v>
      </c>
      <c r="X29" s="122">
        <v>-1695658.055925407</v>
      </c>
      <c r="Y29" s="12"/>
      <c r="Z29" s="108">
        <f t="shared" si="0"/>
        <v>227209.28006967017</v>
      </c>
      <c r="AB29" s="108">
        <v>-2697.3218824161031</v>
      </c>
      <c r="AC29" s="145"/>
      <c r="AD29" s="12">
        <f t="shared" si="6"/>
        <v>1829959.2418568754</v>
      </c>
      <c r="AE29" s="108" t="e">
        <f t="shared" si="7"/>
        <v>#REF!</v>
      </c>
      <c r="AF29" s="108">
        <f t="shared" si="1"/>
        <v>0</v>
      </c>
      <c r="AG29" s="108" t="e">
        <f>#REF!</f>
        <v>#REF!</v>
      </c>
      <c r="AH29" s="145"/>
      <c r="AI29" s="145"/>
    </row>
    <row r="30" spans="1:35" s="2" customFormat="1" ht="15.75" x14ac:dyDescent="0.5">
      <c r="A30" s="19">
        <v>1</v>
      </c>
      <c r="B30" s="32" t="s">
        <v>13</v>
      </c>
      <c r="C30" s="124" t="e">
        <f>VLOOKUP($B30,#REF!,8,FALSE)</f>
        <v>#REF!</v>
      </c>
      <c r="D30" s="33">
        <v>6.1830965086252245E-4</v>
      </c>
      <c r="E30" s="33">
        <v>3.6109930455899112E-4</v>
      </c>
      <c r="F30" s="181">
        <f t="shared" si="2"/>
        <v>0.58401046151433833</v>
      </c>
      <c r="G30" s="119"/>
      <c r="H30" s="27">
        <v>-356267.04439790687</v>
      </c>
      <c r="I30" s="27">
        <v>208063.68102117078</v>
      </c>
      <c r="J30" s="37">
        <f t="shared" si="3"/>
        <v>-148203.36337673609</v>
      </c>
      <c r="L30" s="108">
        <v>77347.471036535906</v>
      </c>
      <c r="M30" s="108">
        <v>-132441.9272147523</v>
      </c>
      <c r="N30" s="108">
        <f t="shared" si="4"/>
        <v>-55094.456178216395</v>
      </c>
      <c r="P30" s="108">
        <v>7073.2341214611824</v>
      </c>
      <c r="Q30" s="108">
        <v>-12111.485303054842</v>
      </c>
      <c r="R30" s="108">
        <f t="shared" si="5"/>
        <v>-5038.2511815936596</v>
      </c>
      <c r="T30" s="27">
        <v>77347.471036535906</v>
      </c>
      <c r="U30" s="27">
        <v>7073.2341214611843</v>
      </c>
      <c r="V30" s="12"/>
      <c r="W30" s="122">
        <v>100682.29995058596</v>
      </c>
      <c r="X30" s="122">
        <v>-32632.468352942036</v>
      </c>
      <c r="Y30" s="12"/>
      <c r="Z30" s="108">
        <f t="shared" si="0"/>
        <v>-55865.533980905144</v>
      </c>
      <c r="AB30" s="108">
        <v>-205.79194589078028</v>
      </c>
      <c r="AC30" s="145"/>
      <c r="AD30" s="12">
        <f t="shared" si="6"/>
        <v>24287.997798187036</v>
      </c>
      <c r="AE30" s="108" t="e">
        <f t="shared" si="7"/>
        <v>#REF!</v>
      </c>
      <c r="AF30" s="108">
        <f t="shared" si="1"/>
        <v>0</v>
      </c>
      <c r="AG30" s="108" t="e">
        <f>#REF!</f>
        <v>#REF!</v>
      </c>
      <c r="AH30" s="145"/>
      <c r="AI30" s="145"/>
    </row>
    <row r="31" spans="1:35" s="2" customFormat="1" ht="15.75" x14ac:dyDescent="0.5">
      <c r="A31" s="19">
        <v>1</v>
      </c>
      <c r="B31" s="32" t="s">
        <v>14</v>
      </c>
      <c r="C31" s="124" t="e">
        <f>VLOOKUP($B31,#REF!,8,FALSE)</f>
        <v>#REF!</v>
      </c>
      <c r="D31" s="33">
        <v>8.5550745248056629E-4</v>
      </c>
      <c r="E31" s="33">
        <v>7.884841949793649E-4</v>
      </c>
      <c r="F31" s="181">
        <f t="shared" si="2"/>
        <v>0.9216567227943302</v>
      </c>
      <c r="G31" s="119"/>
      <c r="H31" s="27">
        <v>-492939.27586357889</v>
      </c>
      <c r="I31" s="27">
        <v>454320.7975290363</v>
      </c>
      <c r="J31" s="37">
        <f t="shared" si="3"/>
        <v>-38618.478334542597</v>
      </c>
      <c r="L31" s="108">
        <v>168893.31456457995</v>
      </c>
      <c r="M31" s="108">
        <v>-183249.69632133728</v>
      </c>
      <c r="N31" s="108">
        <f t="shared" si="4"/>
        <v>-14356.381756757328</v>
      </c>
      <c r="P31" s="108">
        <v>15444.874143339108</v>
      </c>
      <c r="Q31" s="108">
        <v>-16757.729598621579</v>
      </c>
      <c r="R31" s="108">
        <f t="shared" si="5"/>
        <v>-1312.8554552824717</v>
      </c>
      <c r="T31" s="27">
        <v>168893.31456457995</v>
      </c>
      <c r="U31" s="27">
        <v>15444.874143339111</v>
      </c>
      <c r="V31" s="12"/>
      <c r="W31" s="122">
        <v>43709.740320875717</v>
      </c>
      <c r="X31" s="122">
        <v>-139918.88712689118</v>
      </c>
      <c r="Y31" s="12"/>
      <c r="Z31" s="108">
        <f t="shared" si="0"/>
        <v>33841.326355321216</v>
      </c>
      <c r="AB31" s="108">
        <v>107759.93181203655</v>
      </c>
      <c r="AC31" s="145"/>
      <c r="AD31" s="12">
        <f t="shared" si="6"/>
        <v>168668.95149587927</v>
      </c>
      <c r="AE31" s="108" t="e">
        <f t="shared" si="7"/>
        <v>#REF!</v>
      </c>
      <c r="AF31" s="108">
        <f t="shared" si="1"/>
        <v>0</v>
      </c>
      <c r="AG31" s="108" t="e">
        <f>#REF!</f>
        <v>#REF!</v>
      </c>
      <c r="AH31" s="145"/>
      <c r="AI31" s="145"/>
    </row>
    <row r="32" spans="1:35" s="2" customFormat="1" ht="15.75" x14ac:dyDescent="0.5">
      <c r="A32" s="19">
        <v>3</v>
      </c>
      <c r="B32" s="32" t="s">
        <v>44</v>
      </c>
      <c r="C32" s="124" t="e">
        <f>VLOOKUP($B32,#REF!,8,FALSE)</f>
        <v>#REF!</v>
      </c>
      <c r="D32" s="33">
        <v>9.0310537919097832E-3</v>
      </c>
      <c r="E32" s="33">
        <v>9.6375354471611493E-3</v>
      </c>
      <c r="F32" s="181">
        <f t="shared" si="2"/>
        <v>1.0671551370665808</v>
      </c>
      <c r="G32" s="119"/>
      <c r="H32" s="27">
        <v>-5203649.721064426</v>
      </c>
      <c r="I32" s="27">
        <v>5553101.5313289817</v>
      </c>
      <c r="J32" s="37">
        <f t="shared" si="3"/>
        <v>349451.81026455574</v>
      </c>
      <c r="L32" s="108">
        <v>2064360.0927819181</v>
      </c>
      <c r="M32" s="108">
        <v>-1934451.7222270754</v>
      </c>
      <c r="N32" s="108">
        <f t="shared" si="4"/>
        <v>129908.37055484275</v>
      </c>
      <c r="P32" s="108">
        <v>188780.60331604854</v>
      </c>
      <c r="Q32" s="108">
        <v>-176900.80547704879</v>
      </c>
      <c r="R32" s="108">
        <f t="shared" si="5"/>
        <v>11879.797838999744</v>
      </c>
      <c r="T32" s="27">
        <v>2064360.0927819181</v>
      </c>
      <c r="U32" s="27">
        <v>188780.60331604857</v>
      </c>
      <c r="V32" s="12"/>
      <c r="W32" s="122">
        <v>-123480.29358275747</v>
      </c>
      <c r="X32" s="122">
        <v>-2056861.5329747596</v>
      </c>
      <c r="Y32" s="12"/>
      <c r="Z32" s="108">
        <f t="shared" si="0"/>
        <v>564038.84819884785</v>
      </c>
      <c r="AB32" s="108">
        <v>-3807.687943167572</v>
      </c>
      <c r="AC32" s="145"/>
      <c r="AD32" s="12">
        <f t="shared" si="6"/>
        <v>2394928.8644918092</v>
      </c>
      <c r="AE32" s="108" t="e">
        <f t="shared" si="7"/>
        <v>#REF!</v>
      </c>
      <c r="AF32" s="108">
        <f t="shared" si="1"/>
        <v>0</v>
      </c>
      <c r="AG32" s="108" t="e">
        <f>#REF!</f>
        <v>#REF!</v>
      </c>
      <c r="AH32" s="145"/>
      <c r="AI32" s="145"/>
    </row>
    <row r="33" spans="1:35" s="2" customFormat="1" ht="15.75" x14ac:dyDescent="0.5">
      <c r="A33" s="19">
        <v>2</v>
      </c>
      <c r="B33" s="32" t="s">
        <v>29</v>
      </c>
      <c r="C33" s="124" t="e">
        <f>VLOOKUP($B33,#REF!,8,FALSE)</f>
        <v>#REF!</v>
      </c>
      <c r="D33" s="33">
        <v>4.2270242335258465E-3</v>
      </c>
      <c r="E33" s="33">
        <v>3.8401312713959869E-3</v>
      </c>
      <c r="F33" s="181">
        <f t="shared" si="2"/>
        <v>0.90847155333028595</v>
      </c>
      <c r="G33" s="119"/>
      <c r="H33" s="27">
        <v>-2435591.0152394176</v>
      </c>
      <c r="I33" s="27">
        <v>2212665.1528918413</v>
      </c>
      <c r="J33" s="37">
        <f t="shared" si="3"/>
        <v>-222925.8623475763</v>
      </c>
      <c r="L33" s="108">
        <v>822556.11833302036</v>
      </c>
      <c r="M33" s="108">
        <v>-905428.59082123614</v>
      </c>
      <c r="N33" s="108">
        <f t="shared" si="4"/>
        <v>-82872.472488215775</v>
      </c>
      <c r="P33" s="108">
        <v>75220.714071718336</v>
      </c>
      <c r="Q33" s="108">
        <v>-82799.19585370984</v>
      </c>
      <c r="R33" s="108">
        <f t="shared" si="5"/>
        <v>-7578.4817819915042</v>
      </c>
      <c r="T33" s="27">
        <v>822556.11833302036</v>
      </c>
      <c r="U33" s="27">
        <v>75220.71407171835</v>
      </c>
      <c r="V33" s="12"/>
      <c r="W33" s="122">
        <v>244002.58507394837</v>
      </c>
      <c r="X33" s="122">
        <v>-663541.32772666914</v>
      </c>
      <c r="Y33" s="12"/>
      <c r="Z33" s="108">
        <f t="shared" si="0"/>
        <v>164861.27313423436</v>
      </c>
      <c r="AB33" s="108">
        <v>-1586.8020124873483</v>
      </c>
      <c r="AC33" s="145"/>
      <c r="AD33" s="12">
        <f t="shared" si="6"/>
        <v>807325.87813453143</v>
      </c>
      <c r="AE33" s="108" t="e">
        <f t="shared" si="7"/>
        <v>#REF!</v>
      </c>
      <c r="AF33" s="108">
        <f t="shared" si="1"/>
        <v>0</v>
      </c>
      <c r="AG33" s="108" t="e">
        <f>#REF!</f>
        <v>#REF!</v>
      </c>
      <c r="AH33" s="145"/>
      <c r="AI33" s="145"/>
    </row>
    <row r="34" spans="1:35" s="2" customFormat="1" ht="15.75" x14ac:dyDescent="0.5">
      <c r="A34" s="19">
        <v>2</v>
      </c>
      <c r="B34" s="32" t="s">
        <v>30</v>
      </c>
      <c r="C34" s="124" t="e">
        <f>VLOOKUP($B34,#REF!,8,FALSE)</f>
        <v>#REF!</v>
      </c>
      <c r="D34" s="33">
        <v>2.6499526927648916E-3</v>
      </c>
      <c r="E34" s="33">
        <v>2.2410239240043851E-3</v>
      </c>
      <c r="F34" s="181">
        <f t="shared" si="2"/>
        <v>0.84568450226413638</v>
      </c>
      <c r="G34" s="119"/>
      <c r="H34" s="27">
        <v>-1526889.9851856518</v>
      </c>
      <c r="I34" s="27">
        <v>1291267.1971338221</v>
      </c>
      <c r="J34" s="37">
        <f t="shared" si="3"/>
        <v>-235622.78805182967</v>
      </c>
      <c r="L34" s="108">
        <v>480027.32452173927</v>
      </c>
      <c r="M34" s="108">
        <v>-567619.8667902397</v>
      </c>
      <c r="N34" s="108">
        <f t="shared" si="4"/>
        <v>-87592.542268500431</v>
      </c>
      <c r="P34" s="108">
        <v>43897.306602785487</v>
      </c>
      <c r="Q34" s="108">
        <v>-51907.427043134885</v>
      </c>
      <c r="R34" s="108">
        <f t="shared" si="5"/>
        <v>-8010.1204403493975</v>
      </c>
      <c r="T34" s="27">
        <v>480027.32452173927</v>
      </c>
      <c r="U34" s="27">
        <v>43897.306602785495</v>
      </c>
      <c r="V34" s="12"/>
      <c r="W34" s="122">
        <v>144374.29966333695</v>
      </c>
      <c r="X34" s="122">
        <v>-424497.18554415472</v>
      </c>
      <c r="Y34" s="12"/>
      <c r="Z34" s="108">
        <f t="shared" si="0"/>
        <v>-87423.705516972521</v>
      </c>
      <c r="AB34" s="108">
        <v>-979.59524611154325</v>
      </c>
      <c r="AC34" s="145"/>
      <c r="AD34" s="12">
        <f t="shared" si="6"/>
        <v>428321.96841567493</v>
      </c>
      <c r="AE34" s="108" t="e">
        <f t="shared" si="7"/>
        <v>#REF!</v>
      </c>
      <c r="AF34" s="108">
        <f t="shared" si="1"/>
        <v>0</v>
      </c>
      <c r="AG34" s="108" t="e">
        <f>#REF!</f>
        <v>#REF!</v>
      </c>
      <c r="AH34" s="145"/>
      <c r="AI34" s="145"/>
    </row>
    <row r="35" spans="1:35" s="2" customFormat="1" ht="15.75" x14ac:dyDescent="0.5">
      <c r="A35" s="19">
        <v>4</v>
      </c>
      <c r="B35" s="32" t="s">
        <v>55</v>
      </c>
      <c r="C35" s="124" t="e">
        <f>VLOOKUP($B35,#REF!,8,FALSE)</f>
        <v>#REF!</v>
      </c>
      <c r="D35" s="33">
        <v>8.537627050886662E-2</v>
      </c>
      <c r="E35" s="33">
        <v>7.165928489602226E-2</v>
      </c>
      <c r="F35" s="181">
        <f t="shared" si="2"/>
        <v>0.83933491670358451</v>
      </c>
      <c r="G35" s="119"/>
      <c r="H35" s="27">
        <v>-49193396.081525944</v>
      </c>
      <c r="I35" s="27">
        <v>41289735.002454013</v>
      </c>
      <c r="J35" s="37">
        <f t="shared" si="3"/>
        <v>-7903661.0790719315</v>
      </c>
      <c r="L35" s="108">
        <v>15349418.824727967</v>
      </c>
      <c r="M35" s="108">
        <v>-18287597.142999228</v>
      </c>
      <c r="N35" s="108">
        <f t="shared" si="4"/>
        <v>-2938178.3182712607</v>
      </c>
      <c r="P35" s="108">
        <v>1403666.2287818079</v>
      </c>
      <c r="Q35" s="108">
        <v>-1672355.3385513693</v>
      </c>
      <c r="R35" s="108">
        <f t="shared" si="5"/>
        <v>-268689.10976956133</v>
      </c>
      <c r="T35" s="27">
        <v>15349418.824727967</v>
      </c>
      <c r="U35" s="27">
        <v>1403666.2287818082</v>
      </c>
      <c r="V35" s="12"/>
      <c r="W35" s="122">
        <v>5420018.3639516681</v>
      </c>
      <c r="X35" s="122">
        <v>-12914566.330308303</v>
      </c>
      <c r="Y35" s="12"/>
      <c r="Z35" s="108">
        <f t="shared" si="0"/>
        <v>-1851991.4199596122</v>
      </c>
      <c r="AB35" s="108">
        <v>-31298.835722754957</v>
      </c>
      <c r="AC35" s="145"/>
      <c r="AD35" s="12">
        <f t="shared" si="6"/>
        <v>13546217.625468954</v>
      </c>
      <c r="AE35" s="108" t="e">
        <f t="shared" si="7"/>
        <v>#REF!</v>
      </c>
      <c r="AF35" s="108">
        <f t="shared" si="1"/>
        <v>0</v>
      </c>
      <c r="AG35" s="108" t="e">
        <f>#REF!</f>
        <v>#REF!</v>
      </c>
      <c r="AH35" s="145"/>
      <c r="AI35" s="145"/>
    </row>
    <row r="36" spans="1:35" s="2" customFormat="1" ht="15.75" x14ac:dyDescent="0.5">
      <c r="A36" s="19">
        <v>2</v>
      </c>
      <c r="B36" s="32" t="s">
        <v>31</v>
      </c>
      <c r="C36" s="124" t="e">
        <f>VLOOKUP($B36,#REF!,8,FALSE)</f>
        <v>#REF!</v>
      </c>
      <c r="D36" s="33">
        <v>7.7155398161468337E-3</v>
      </c>
      <c r="E36" s="33">
        <v>8.9817669112561768E-3</v>
      </c>
      <c r="F36" s="181">
        <f t="shared" si="2"/>
        <v>1.1641138695777868</v>
      </c>
      <c r="G36" s="119"/>
      <c r="H36" s="27">
        <v>-4445656.9008724401</v>
      </c>
      <c r="I36" s="27">
        <v>5175250.8576898072</v>
      </c>
      <c r="J36" s="37">
        <f t="shared" si="3"/>
        <v>729593.95681736711</v>
      </c>
      <c r="L36" s="108">
        <v>1923894.4723910731</v>
      </c>
      <c r="M36" s="108">
        <v>-1652668.6286186515</v>
      </c>
      <c r="N36" s="108">
        <f t="shared" si="4"/>
        <v>271225.84377242159</v>
      </c>
      <c r="P36" s="108">
        <v>175935.37120016685</v>
      </c>
      <c r="Q36" s="108">
        <v>-151132.44141999356</v>
      </c>
      <c r="R36" s="108">
        <f t="shared" si="5"/>
        <v>24802.92978017329</v>
      </c>
      <c r="T36" s="27">
        <v>1923894.4723910731</v>
      </c>
      <c r="U36" s="27">
        <v>175935.37120016688</v>
      </c>
      <c r="V36" s="12"/>
      <c r="W36" s="122">
        <v>-464614.22113519581</v>
      </c>
      <c r="X36" s="122">
        <v>-2113254.9880260658</v>
      </c>
      <c r="Y36" s="12"/>
      <c r="Z36" s="108">
        <f t="shared" si="0"/>
        <v>547583.36479994049</v>
      </c>
      <c r="AB36" s="108">
        <v>-3419.318553211438</v>
      </c>
      <c r="AC36" s="145"/>
      <c r="AD36" s="12">
        <f t="shared" si="6"/>
        <v>2395858.6171438349</v>
      </c>
      <c r="AE36" s="108" t="e">
        <f t="shared" si="7"/>
        <v>#REF!</v>
      </c>
      <c r="AF36" s="108">
        <f t="shared" si="1"/>
        <v>0</v>
      </c>
      <c r="AG36" s="108" t="e">
        <f>#REF!</f>
        <v>#REF!</v>
      </c>
      <c r="AH36" s="145"/>
      <c r="AI36" s="145"/>
    </row>
    <row r="37" spans="1:35" s="2" customFormat="1" ht="15.75" x14ac:dyDescent="0.5">
      <c r="A37" s="19">
        <v>1</v>
      </c>
      <c r="B37" s="32" t="s">
        <v>15</v>
      </c>
      <c r="C37" s="124" t="e">
        <f>VLOOKUP($B37,#REF!,8,FALSE)</f>
        <v>#REF!</v>
      </c>
      <c r="D37" s="33">
        <v>1.000380971377679E-3</v>
      </c>
      <c r="E37" s="33">
        <v>5.6704473202306754E-4</v>
      </c>
      <c r="F37" s="181">
        <f t="shared" si="2"/>
        <v>0.5668287864793744</v>
      </c>
      <c r="G37" s="119"/>
      <c r="H37" s="27">
        <v>-576414.70005758782</v>
      </c>
      <c r="I37" s="27">
        <v>326728.44494251499</v>
      </c>
      <c r="J37" s="37">
        <f t="shared" si="3"/>
        <v>-249686.25511507282</v>
      </c>
      <c r="L37" s="108">
        <v>121460.98159934107</v>
      </c>
      <c r="M37" s="108">
        <v>-214281.6040690988</v>
      </c>
      <c r="N37" s="108">
        <f t="shared" si="4"/>
        <v>-92820.622469757727</v>
      </c>
      <c r="P37" s="108">
        <v>11107.305099462304</v>
      </c>
      <c r="Q37" s="108">
        <v>-19595.520489442319</v>
      </c>
      <c r="R37" s="108">
        <f t="shared" si="5"/>
        <v>-8488.2153899800142</v>
      </c>
      <c r="T37" s="27">
        <v>121460.98159934107</v>
      </c>
      <c r="U37" s="27">
        <v>11107.305099462306</v>
      </c>
      <c r="V37" s="12"/>
      <c r="W37" s="122">
        <v>196405.5670944514</v>
      </c>
      <c r="X37" s="122">
        <v>-19578.72800483316</v>
      </c>
      <c r="Y37" s="12"/>
      <c r="Z37" s="108">
        <f t="shared" si="0"/>
        <v>-41599.967186388938</v>
      </c>
      <c r="AB37" s="108">
        <v>4938.1830807472579</v>
      </c>
      <c r="AC37" s="145"/>
      <c r="AD37" s="12">
        <f t="shared" si="6"/>
        <v>31259.448839065633</v>
      </c>
      <c r="AE37" s="108" t="e">
        <f t="shared" si="7"/>
        <v>#REF!</v>
      </c>
      <c r="AF37" s="108">
        <f t="shared" si="1"/>
        <v>0</v>
      </c>
      <c r="AG37" s="108" t="e">
        <f>#REF!</f>
        <v>#REF!</v>
      </c>
      <c r="AH37" s="145"/>
      <c r="AI37" s="145"/>
    </row>
    <row r="38" spans="1:35" s="2" customFormat="1" ht="15.75" x14ac:dyDescent="0.5">
      <c r="A38" s="19">
        <v>4</v>
      </c>
      <c r="B38" s="32" t="s">
        <v>56</v>
      </c>
      <c r="C38" s="124" t="e">
        <f>VLOOKUP($B38,#REF!,8,FALSE)</f>
        <v>#REF!</v>
      </c>
      <c r="D38" s="33">
        <v>3.9667403040645713E-2</v>
      </c>
      <c r="E38" s="33">
        <v>5.0272210494305657E-2</v>
      </c>
      <c r="F38" s="181">
        <f t="shared" si="2"/>
        <v>1.2673431240959634</v>
      </c>
      <c r="G38" s="119"/>
      <c r="H38" s="27">
        <v>-22856166.680428542</v>
      </c>
      <c r="I38" s="27">
        <v>28966605.68563237</v>
      </c>
      <c r="J38" s="37">
        <f t="shared" si="3"/>
        <v>6110439.0052038282</v>
      </c>
      <c r="L38" s="108">
        <v>10768307.487880271</v>
      </c>
      <c r="M38" s="108">
        <v>-8496757.7313063107</v>
      </c>
      <c r="N38" s="108">
        <f t="shared" si="4"/>
        <v>2271549.7565739602</v>
      </c>
      <c r="P38" s="108">
        <v>984734.97495066782</v>
      </c>
      <c r="Q38" s="108">
        <v>-777007.39146954473</v>
      </c>
      <c r="R38" s="108">
        <f t="shared" si="5"/>
        <v>207727.58348112309</v>
      </c>
      <c r="T38" s="27">
        <v>10768307.487880271</v>
      </c>
      <c r="U38" s="27">
        <v>984734.97495066805</v>
      </c>
      <c r="V38" s="12"/>
      <c r="W38" s="122">
        <v>-4830980.4982625619</v>
      </c>
      <c r="X38" s="122">
        <v>-13285857.201026365</v>
      </c>
      <c r="Y38" s="12"/>
      <c r="Z38" s="108">
        <f t="shared" ref="Z38:Z63" si="8">SUM(J38,N38,R38,T38:X38)</f>
        <v>2225921.1088009216</v>
      </c>
      <c r="AB38" s="108">
        <v>-18536.5056346194</v>
      </c>
      <c r="AC38" s="145"/>
      <c r="AD38" s="12">
        <f t="shared" si="6"/>
        <v>14232319.802886022</v>
      </c>
      <c r="AE38" s="108" t="e">
        <f t="shared" si="7"/>
        <v>#REF!</v>
      </c>
      <c r="AF38" s="108">
        <f t="shared" si="1"/>
        <v>0</v>
      </c>
      <c r="AG38" s="108" t="e">
        <f>#REF!</f>
        <v>#REF!</v>
      </c>
      <c r="AH38" s="145"/>
      <c r="AI38" s="145"/>
    </row>
    <row r="39" spans="1:35" s="2" customFormat="1" ht="15.75" x14ac:dyDescent="0.5">
      <c r="A39" s="19">
        <v>4</v>
      </c>
      <c r="B39" s="32" t="s">
        <v>57</v>
      </c>
      <c r="C39" s="124" t="e">
        <f>VLOOKUP($B39,#REF!,8,FALSE)</f>
        <v>#REF!</v>
      </c>
      <c r="D39" s="33">
        <v>4.2741057845883175E-2</v>
      </c>
      <c r="E39" s="33">
        <v>4.2012881800210643E-2</v>
      </c>
      <c r="F39" s="181">
        <f t="shared" si="2"/>
        <v>0.98296307853918341</v>
      </c>
      <c r="G39" s="119"/>
      <c r="H39" s="27">
        <v>-24627191.783196751</v>
      </c>
      <c r="I39" s="27">
        <v>24207620.250985954</v>
      </c>
      <c r="J39" s="37">
        <f t="shared" si="3"/>
        <v>-419571.53221079707</v>
      </c>
      <c r="L39" s="108">
        <v>8999159.2816051189</v>
      </c>
      <c r="M39" s="108">
        <v>-9155134.5905881748</v>
      </c>
      <c r="N39" s="108">
        <f t="shared" si="4"/>
        <v>-155975.30898305587</v>
      </c>
      <c r="P39" s="108">
        <v>822950.76544967049</v>
      </c>
      <c r="Q39" s="108">
        <v>-837214.32006651489</v>
      </c>
      <c r="R39" s="108">
        <f t="shared" si="5"/>
        <v>-14263.554616844398</v>
      </c>
      <c r="T39" s="27">
        <v>8999159.2816051189</v>
      </c>
      <c r="U39" s="27">
        <v>822950.76544967061</v>
      </c>
      <c r="V39" s="12"/>
      <c r="W39" s="122">
        <v>-73424.064268905669</v>
      </c>
      <c r="X39" s="122">
        <v>-9227922.122514965</v>
      </c>
      <c r="Y39" s="12"/>
      <c r="Z39" s="108">
        <f t="shared" si="8"/>
        <v>-69046.535539777949</v>
      </c>
      <c r="AB39" s="108">
        <v>-16579.107627155779</v>
      </c>
      <c r="AC39" s="145"/>
      <c r="AD39" s="12">
        <f t="shared" si="6"/>
        <v>9651871.1834548898</v>
      </c>
      <c r="AE39" s="108" t="e">
        <f t="shared" si="7"/>
        <v>#REF!</v>
      </c>
      <c r="AF39" s="108">
        <f t="shared" si="1"/>
        <v>0</v>
      </c>
      <c r="AG39" s="108" t="e">
        <f>#REF!</f>
        <v>#REF!</v>
      </c>
      <c r="AH39" s="145"/>
      <c r="AI39" s="145"/>
    </row>
    <row r="40" spans="1:35" s="2" customFormat="1" ht="15.75" x14ac:dyDescent="0.5">
      <c r="A40" s="19">
        <v>1</v>
      </c>
      <c r="B40" s="32" t="s">
        <v>16</v>
      </c>
      <c r="C40" s="124" t="e">
        <f>VLOOKUP($B40,#REF!,8,FALSE)</f>
        <v>#REF!</v>
      </c>
      <c r="D40" s="33">
        <v>1.7327627393384621E-3</v>
      </c>
      <c r="E40" s="33">
        <v>1.1670118501916525E-3</v>
      </c>
      <c r="F40" s="181">
        <f t="shared" si="2"/>
        <v>0.67349777537183009</v>
      </c>
      <c r="G40" s="119"/>
      <c r="H40" s="27">
        <v>-998409.54920529528</v>
      </c>
      <c r="I40" s="27">
        <v>672426.61029975791</v>
      </c>
      <c r="J40" s="37">
        <f t="shared" si="3"/>
        <v>-325982.93890553736</v>
      </c>
      <c r="L40" s="108">
        <v>249973.93831105196</v>
      </c>
      <c r="M40" s="108">
        <v>-371157.77876629855</v>
      </c>
      <c r="N40" s="108">
        <f t="shared" si="4"/>
        <v>-121183.84045524659</v>
      </c>
      <c r="P40" s="108">
        <v>22859.495808241398</v>
      </c>
      <c r="Q40" s="108">
        <v>-33941.45703840068</v>
      </c>
      <c r="R40" s="108">
        <f t="shared" si="5"/>
        <v>-11081.961230159282</v>
      </c>
      <c r="T40" s="27">
        <v>249973.93831105196</v>
      </c>
      <c r="U40" s="27">
        <v>22859.495808241405</v>
      </c>
      <c r="V40" s="12"/>
      <c r="W40" s="122">
        <v>226931.98705790751</v>
      </c>
      <c r="X40" s="122">
        <v>-146193.1242262109</v>
      </c>
      <c r="Y40" s="12"/>
      <c r="Z40" s="108">
        <f t="shared" si="8"/>
        <v>-104676.4436399533</v>
      </c>
      <c r="AB40" s="108">
        <v>-550.73292646330856</v>
      </c>
      <c r="AC40" s="145"/>
      <c r="AD40" s="12">
        <f t="shared" si="6"/>
        <v>140567.63243388748</v>
      </c>
      <c r="AE40" s="108" t="e">
        <f t="shared" si="7"/>
        <v>#REF!</v>
      </c>
      <c r="AF40" s="108">
        <f t="shared" si="1"/>
        <v>0</v>
      </c>
      <c r="AG40" s="108" t="e">
        <f>#REF!</f>
        <v>#REF!</v>
      </c>
      <c r="AH40" s="145"/>
      <c r="AI40" s="145"/>
    </row>
    <row r="41" spans="1:35" s="2" customFormat="1" ht="15.75" x14ac:dyDescent="0.5">
      <c r="A41" s="19">
        <v>4</v>
      </c>
      <c r="B41" s="32" t="s">
        <v>58</v>
      </c>
      <c r="C41" s="124" t="e">
        <f>VLOOKUP($B41,#REF!,8,FALSE)</f>
        <v>#REF!</v>
      </c>
      <c r="D41" s="33">
        <v>4.257942326127765E-2</v>
      </c>
      <c r="E41" s="33">
        <v>5.4790062295239375E-2</v>
      </c>
      <c r="F41" s="181">
        <f t="shared" si="2"/>
        <v>1.2867732368997646</v>
      </c>
      <c r="G41" s="119"/>
      <c r="H41" s="27">
        <v>-24534058.713626247</v>
      </c>
      <c r="I41" s="27">
        <v>31569770.145221718</v>
      </c>
      <c r="J41" s="37">
        <f t="shared" si="3"/>
        <v>7035711.4315954708</v>
      </c>
      <c r="L41" s="108">
        <v>11736031.343640273</v>
      </c>
      <c r="M41" s="108">
        <v>-9120512.4625656717</v>
      </c>
      <c r="N41" s="108">
        <f t="shared" si="4"/>
        <v>2615518.8810746018</v>
      </c>
      <c r="P41" s="108">
        <v>1073230.9180627619</v>
      </c>
      <c r="Q41" s="108">
        <v>-834048.21244845598</v>
      </c>
      <c r="R41" s="108">
        <f t="shared" si="5"/>
        <v>239182.70561430592</v>
      </c>
      <c r="T41" s="27">
        <v>11736031.343640273</v>
      </c>
      <c r="U41" s="27">
        <v>1073230.9180627621</v>
      </c>
      <c r="V41" s="12"/>
      <c r="W41" s="122">
        <v>-5590597.413224522</v>
      </c>
      <c r="X41" s="122">
        <v>-14662643.530310817</v>
      </c>
      <c r="Y41" s="12"/>
      <c r="Z41" s="108">
        <f t="shared" si="8"/>
        <v>2446434.3364520743</v>
      </c>
      <c r="AB41" s="108">
        <v>-20474.271003920061</v>
      </c>
      <c r="AC41" s="145"/>
      <c r="AD41" s="12">
        <f t="shared" si="6"/>
        <v>15663963.848391943</v>
      </c>
      <c r="AE41" s="108" t="e">
        <f t="shared" si="7"/>
        <v>#REF!</v>
      </c>
      <c r="AF41" s="108">
        <f t="shared" si="1"/>
        <v>0</v>
      </c>
      <c r="AG41" s="108" t="e">
        <f>#REF!</f>
        <v>#REF!</v>
      </c>
      <c r="AH41" s="145"/>
      <c r="AI41" s="145"/>
    </row>
    <row r="42" spans="1:35" s="2" customFormat="1" ht="15.75" x14ac:dyDescent="0.5">
      <c r="A42" s="19">
        <v>4</v>
      </c>
      <c r="B42" s="32" t="s">
        <v>59</v>
      </c>
      <c r="C42" s="124" t="e">
        <f>VLOOKUP($B42,#REF!,8,FALSE)</f>
        <v>#REF!</v>
      </c>
      <c r="D42" s="33">
        <v>8.5204907739830998E-2</v>
      </c>
      <c r="E42" s="33">
        <v>6.911415020085046E-2</v>
      </c>
      <c r="F42" s="181">
        <f t="shared" si="2"/>
        <v>0.81115222155849431</v>
      </c>
      <c r="G42" s="119"/>
      <c r="H42" s="27">
        <v>-49094657.678916514</v>
      </c>
      <c r="I42" s="27">
        <v>39823240.642906912</v>
      </c>
      <c r="J42" s="37">
        <f t="shared" si="3"/>
        <v>-9271417.0360096022</v>
      </c>
      <c r="L42" s="108">
        <v>14804250.973022169</v>
      </c>
      <c r="M42" s="108">
        <v>-18250891.237871796</v>
      </c>
      <c r="N42" s="108">
        <f t="shared" si="4"/>
        <v>-3446640.2648496274</v>
      </c>
      <c r="P42" s="108">
        <v>1353811.9827549704</v>
      </c>
      <c r="Q42" s="108">
        <v>-1668998.6746924589</v>
      </c>
      <c r="R42" s="108">
        <f t="shared" si="5"/>
        <v>-315186.6919374885</v>
      </c>
      <c r="T42" s="27">
        <v>14804250.973022169</v>
      </c>
      <c r="U42" s="27">
        <v>1353811.9827549707</v>
      </c>
      <c r="V42" s="12"/>
      <c r="W42" s="122">
        <v>6112787.6819273233</v>
      </c>
      <c r="X42" s="122">
        <v>-12191096.904908184</v>
      </c>
      <c r="Y42" s="12"/>
      <c r="Z42" s="108">
        <f t="shared" si="8"/>
        <v>-2953490.2600004412</v>
      </c>
      <c r="AB42" s="108">
        <v>-30341.525533180778</v>
      </c>
      <c r="AC42" s="145"/>
      <c r="AD42" s="12">
        <f t="shared" si="6"/>
        <v>12396235.998990024</v>
      </c>
      <c r="AE42" s="108" t="e">
        <f t="shared" si="7"/>
        <v>#REF!</v>
      </c>
      <c r="AF42" s="108">
        <f t="shared" si="1"/>
        <v>0</v>
      </c>
      <c r="AG42" s="108" t="e">
        <f>#REF!</f>
        <v>#REF!</v>
      </c>
      <c r="AH42" s="145"/>
      <c r="AI42" s="145"/>
    </row>
    <row r="43" spans="1:35" s="2" customFormat="1" ht="15.75" x14ac:dyDescent="0.5">
      <c r="A43" s="19">
        <v>4</v>
      </c>
      <c r="B43" s="32" t="s">
        <v>60</v>
      </c>
      <c r="C43" s="124" t="e">
        <f>VLOOKUP($B43,#REF!,8,FALSE)</f>
        <v>#REF!</v>
      </c>
      <c r="D43" s="33">
        <v>3.6784866362596015E-2</v>
      </c>
      <c r="E43" s="33">
        <v>2.8662119434908859E-2</v>
      </c>
      <c r="F43" s="181">
        <f t="shared" si="2"/>
        <v>0.77918237223918219</v>
      </c>
      <c r="G43" s="119"/>
      <c r="H43" s="27">
        <v>-21195262.922538366</v>
      </c>
      <c r="I43" s="27">
        <v>16514975.244216621</v>
      </c>
      <c r="J43" s="37">
        <f t="shared" si="3"/>
        <v>-4680287.6783217452</v>
      </c>
      <c r="L43" s="108">
        <v>6139425.9829574777</v>
      </c>
      <c r="M43" s="108">
        <v>-7879318.3748680651</v>
      </c>
      <c r="N43" s="108">
        <f t="shared" si="4"/>
        <v>-1739892.3919105874</v>
      </c>
      <c r="P43" s="108">
        <v>561435.25789392192</v>
      </c>
      <c r="Q43" s="108">
        <v>-720544.09583277989</v>
      </c>
      <c r="R43" s="108">
        <f t="shared" si="5"/>
        <v>-159108.83793885796</v>
      </c>
      <c r="T43" s="27">
        <v>6139425.9829574777</v>
      </c>
      <c r="U43" s="27">
        <v>561435.25789392204</v>
      </c>
      <c r="V43" s="12"/>
      <c r="W43" s="122">
        <v>3719901.323172247</v>
      </c>
      <c r="X43" s="122">
        <v>-4191665.8454028554</v>
      </c>
      <c r="Y43" s="12"/>
      <c r="Z43" s="108">
        <f t="shared" si="8"/>
        <v>-350192.18955039978</v>
      </c>
      <c r="AB43" s="108">
        <v>-13129.676898043039</v>
      </c>
      <c r="AC43" s="145"/>
      <c r="AD43" s="12">
        <f t="shared" si="6"/>
        <v>4801860.0110019539</v>
      </c>
      <c r="AE43" s="108" t="e">
        <f t="shared" si="7"/>
        <v>#REF!</v>
      </c>
      <c r="AF43" s="108">
        <f t="shared" si="1"/>
        <v>0</v>
      </c>
      <c r="AG43" s="108" t="e">
        <f>#REF!</f>
        <v>#REF!</v>
      </c>
      <c r="AH43" s="145"/>
      <c r="AI43" s="145"/>
    </row>
    <row r="44" spans="1:35" s="2" customFormat="1" ht="15.75" x14ac:dyDescent="0.5">
      <c r="A44" s="19">
        <v>3</v>
      </c>
      <c r="B44" s="32" t="s">
        <v>45</v>
      </c>
      <c r="C44" s="124" t="e">
        <f>VLOOKUP($B44,#REF!,8,FALSE)</f>
        <v>#REF!</v>
      </c>
      <c r="D44" s="33">
        <v>1.6410633160218038E-2</v>
      </c>
      <c r="E44" s="33">
        <v>1.9766266581635026E-2</v>
      </c>
      <c r="F44" s="181">
        <f t="shared" si="2"/>
        <v>1.2044792171426739</v>
      </c>
      <c r="G44" s="119"/>
      <c r="H44" s="27">
        <v>-9455727.8291441575</v>
      </c>
      <c r="I44" s="27">
        <v>11389227.653161749</v>
      </c>
      <c r="J44" s="37">
        <f t="shared" si="3"/>
        <v>1933499.8240175918</v>
      </c>
      <c r="L44" s="108">
        <v>4233934.3017862225</v>
      </c>
      <c r="M44" s="108">
        <v>-3515157.6229187031</v>
      </c>
      <c r="N44" s="108">
        <f t="shared" si="4"/>
        <v>718776.67886751937</v>
      </c>
      <c r="P44" s="108">
        <v>387182.77624452865</v>
      </c>
      <c r="Q44" s="108">
        <v>-321452.43415907427</v>
      </c>
      <c r="R44" s="108">
        <f t="shared" si="5"/>
        <v>65730.34208545438</v>
      </c>
      <c r="T44" s="27">
        <v>4233934.3017862225</v>
      </c>
      <c r="U44" s="27">
        <v>387182.77624452871</v>
      </c>
      <c r="V44" s="12"/>
      <c r="W44" s="122">
        <v>-1030029.4970808886</v>
      </c>
      <c r="X44" s="122">
        <v>-4536257.5259384336</v>
      </c>
      <c r="Y44" s="12"/>
      <c r="Z44" s="108">
        <f t="shared" si="8"/>
        <v>1772836.8999819942</v>
      </c>
      <c r="AB44" s="108">
        <v>-7450.2330545659652</v>
      </c>
      <c r="AC44" s="145"/>
      <c r="AD44" s="12">
        <f t="shared" si="6"/>
        <v>5405624.0989837246</v>
      </c>
      <c r="AE44" s="108" t="e">
        <f t="shared" si="7"/>
        <v>#REF!</v>
      </c>
      <c r="AF44" s="108">
        <f t="shared" si="1"/>
        <v>0</v>
      </c>
      <c r="AG44" s="108" t="e">
        <f>#REF!</f>
        <v>#REF!</v>
      </c>
      <c r="AH44" s="145"/>
      <c r="AI44" s="145"/>
    </row>
    <row r="45" spans="1:35" s="2" customFormat="1" ht="15.75" x14ac:dyDescent="0.5">
      <c r="A45" s="19">
        <v>2</v>
      </c>
      <c r="B45" s="32" t="s">
        <v>32</v>
      </c>
      <c r="C45" s="124" t="e">
        <f>VLOOKUP($B45,#REF!,8,FALSE)</f>
        <v>#REF!</v>
      </c>
      <c r="D45" s="33">
        <v>7.362048128645075E-3</v>
      </c>
      <c r="E45" s="33">
        <v>7.3479600745092405E-3</v>
      </c>
      <c r="F45" s="181">
        <f t="shared" si="2"/>
        <v>0.99808639472472083</v>
      </c>
      <c r="G45" s="119"/>
      <c r="H45" s="27">
        <v>-4241976.6921779756</v>
      </c>
      <c r="I45" s="27">
        <v>4233859.2232022118</v>
      </c>
      <c r="J45" s="37">
        <f t="shared" si="3"/>
        <v>-8117.468975763768</v>
      </c>
      <c r="L45" s="108">
        <v>1573933.0479598793</v>
      </c>
      <c r="M45" s="108">
        <v>-1576950.7091557749</v>
      </c>
      <c r="N45" s="108">
        <f t="shared" si="4"/>
        <v>-3017.6611958956346</v>
      </c>
      <c r="P45" s="108">
        <v>143932.26812117134</v>
      </c>
      <c r="Q45" s="108">
        <v>-144208.22574269123</v>
      </c>
      <c r="R45" s="108">
        <f t="shared" si="5"/>
        <v>-275.95762151989038</v>
      </c>
      <c r="T45" s="27">
        <v>1573933.0479598793</v>
      </c>
      <c r="U45" s="27">
        <v>143932.26812117136</v>
      </c>
      <c r="V45" s="12"/>
      <c r="W45" s="122">
        <v>-67386.319586253725</v>
      </c>
      <c r="X45" s="122">
        <v>-1643752.8391815512</v>
      </c>
      <c r="Y45" s="12"/>
      <c r="Z45" s="108">
        <f t="shared" si="8"/>
        <v>-4684.9304799337406</v>
      </c>
      <c r="AB45" s="108">
        <v>-2901.8578993300598</v>
      </c>
      <c r="AC45" s="145"/>
      <c r="AD45" s="12">
        <f t="shared" si="6"/>
        <v>1714571.697263635</v>
      </c>
      <c r="AE45" s="108" t="e">
        <f t="shared" si="7"/>
        <v>#REF!</v>
      </c>
      <c r="AF45" s="108">
        <f t="shared" si="1"/>
        <v>0</v>
      </c>
      <c r="AG45" s="108" t="e">
        <f>#REF!</f>
        <v>#REF!</v>
      </c>
      <c r="AH45" s="145"/>
      <c r="AI45" s="145"/>
    </row>
    <row r="46" spans="1:35" s="2" customFormat="1" ht="15.75" x14ac:dyDescent="0.5">
      <c r="A46" s="19">
        <v>3</v>
      </c>
      <c r="B46" s="32" t="s">
        <v>46</v>
      </c>
      <c r="C46" s="124" t="e">
        <f>VLOOKUP($B46,#REF!,8,FALSE)</f>
        <v>#REF!</v>
      </c>
      <c r="D46" s="33">
        <v>2.0666649917050993E-2</v>
      </c>
      <c r="E46" s="33">
        <v>1.7955923076034844E-2</v>
      </c>
      <c r="F46" s="181">
        <f t="shared" si="2"/>
        <v>0.86883569171123054</v>
      </c>
      <c r="G46" s="119"/>
      <c r="H46" s="27">
        <v>-11908024.19674845</v>
      </c>
      <c r="I46" s="27">
        <v>10346116.439896008</v>
      </c>
      <c r="J46" s="37">
        <f t="shared" si="3"/>
        <v>-1561907.7568524424</v>
      </c>
      <c r="L46" s="108">
        <v>3846158.7228866634</v>
      </c>
      <c r="M46" s="108">
        <v>-4426796.4122323217</v>
      </c>
      <c r="N46" s="108">
        <f t="shared" si="4"/>
        <v>-580637.68934565829</v>
      </c>
      <c r="P46" s="108">
        <v>351721.66265690891</v>
      </c>
      <c r="Q46" s="108">
        <v>-404819.53724089009</v>
      </c>
      <c r="R46" s="108">
        <f t="shared" si="5"/>
        <v>-53097.874583981175</v>
      </c>
      <c r="T46" s="27">
        <v>3846158.7228866634</v>
      </c>
      <c r="U46" s="27">
        <v>351721.66265690897</v>
      </c>
      <c r="V46" s="12"/>
      <c r="W46" s="122">
        <v>1129810.9659566712</v>
      </c>
      <c r="X46" s="122">
        <v>-3306780.0718863183</v>
      </c>
      <c r="Y46" s="12"/>
      <c r="Z46" s="108">
        <f t="shared" si="8"/>
        <v>-174732.04116815655</v>
      </c>
      <c r="AB46" s="108">
        <v>-7682.060685316239</v>
      </c>
      <c r="AC46" s="145"/>
      <c r="AD46" s="12">
        <f t="shared" si="6"/>
        <v>3564144.821613933</v>
      </c>
      <c r="AE46" s="108" t="e">
        <f t="shared" si="7"/>
        <v>#REF!</v>
      </c>
      <c r="AF46" s="108">
        <f t="shared" si="1"/>
        <v>0</v>
      </c>
      <c r="AG46" s="108" t="e">
        <f>#REF!</f>
        <v>#REF!</v>
      </c>
      <c r="AH46" s="145"/>
      <c r="AI46" s="145"/>
    </row>
    <row r="47" spans="1:35" s="2" customFormat="1" ht="15.75" x14ac:dyDescent="0.5">
      <c r="A47" s="19">
        <v>3</v>
      </c>
      <c r="B47" s="32" t="s">
        <v>47</v>
      </c>
      <c r="C47" s="124" t="e">
        <f>VLOOKUP($B47,#REF!,8,FALSE)</f>
        <v>#REF!</v>
      </c>
      <c r="D47" s="33">
        <v>1.2749378081996708E-2</v>
      </c>
      <c r="E47" s="33">
        <v>1.1246164953214352E-2</v>
      </c>
      <c r="F47" s="181">
        <f t="shared" si="2"/>
        <v>0.8820951799284209</v>
      </c>
      <c r="G47" s="119"/>
      <c r="H47" s="27">
        <v>-7346130.2776824189</v>
      </c>
      <c r="I47" s="27">
        <v>6479986.1090698931</v>
      </c>
      <c r="J47" s="37">
        <f t="shared" si="3"/>
        <v>-866144.1686125258</v>
      </c>
      <c r="L47" s="108">
        <v>2408928.5329785142</v>
      </c>
      <c r="M47" s="108">
        <v>-2730916.7851636945</v>
      </c>
      <c r="N47" s="108">
        <f t="shared" si="4"/>
        <v>-321988.25218518032</v>
      </c>
      <c r="P47" s="108">
        <v>220290.53138113001</v>
      </c>
      <c r="Q47" s="108">
        <v>-249735.55733408034</v>
      </c>
      <c r="R47" s="108">
        <f t="shared" si="5"/>
        <v>-29445.025952950324</v>
      </c>
      <c r="T47" s="27">
        <v>2408928.5329785142</v>
      </c>
      <c r="U47" s="27">
        <v>220290.53138113007</v>
      </c>
      <c r="V47" s="12"/>
      <c r="W47" s="122">
        <v>877408.60344406962</v>
      </c>
      <c r="X47" s="122">
        <v>-1861114.6654919211</v>
      </c>
      <c r="Y47" s="12"/>
      <c r="Z47" s="108">
        <f t="shared" si="8"/>
        <v>427935.55556113622</v>
      </c>
      <c r="AB47" s="108">
        <v>-4669.0478281647484</v>
      </c>
      <c r="AC47" s="145"/>
      <c r="AD47" s="12">
        <f t="shared" si="6"/>
        <v>2277785.7862215135</v>
      </c>
      <c r="AE47" s="108" t="e">
        <f t="shared" si="7"/>
        <v>#REF!</v>
      </c>
      <c r="AF47" s="108">
        <f t="shared" si="1"/>
        <v>0</v>
      </c>
      <c r="AG47" s="108" t="e">
        <f>#REF!</f>
        <v>#REF!</v>
      </c>
      <c r="AH47" s="145"/>
      <c r="AI47" s="145"/>
    </row>
    <row r="48" spans="1:35" s="2" customFormat="1" ht="15.75" x14ac:dyDescent="0.5">
      <c r="A48" s="19">
        <v>4</v>
      </c>
      <c r="B48" s="32" t="s">
        <v>61</v>
      </c>
      <c r="C48" s="124" t="e">
        <f>VLOOKUP($B48,#REF!,8,FALSE)</f>
        <v>#REF!</v>
      </c>
      <c r="D48" s="33">
        <v>5.1557152246814342E-2</v>
      </c>
      <c r="E48" s="33">
        <v>3.7930104122374943E-2</v>
      </c>
      <c r="F48" s="181">
        <f t="shared" si="2"/>
        <v>0.73569044195451272</v>
      </c>
      <c r="G48" s="119"/>
      <c r="H48" s="27">
        <v>-29706982.937954322</v>
      </c>
      <c r="I48" s="27">
        <v>21855143.406758778</v>
      </c>
      <c r="J48" s="37">
        <f t="shared" si="3"/>
        <v>-7851839.5311955437</v>
      </c>
      <c r="L48" s="108">
        <v>8124628.3030127129</v>
      </c>
      <c r="M48" s="108">
        <v>-11043542.01126763</v>
      </c>
      <c r="N48" s="108">
        <f t="shared" si="4"/>
        <v>-2918913.7082549175</v>
      </c>
      <c r="P48" s="108">
        <v>742977.07949511951</v>
      </c>
      <c r="Q48" s="108">
        <v>-1009904.4885254299</v>
      </c>
      <c r="R48" s="108">
        <f t="shared" si="5"/>
        <v>-266927.40903031034</v>
      </c>
      <c r="T48" s="27">
        <v>8124628.3030127129</v>
      </c>
      <c r="U48" s="27">
        <v>742977.07949511963</v>
      </c>
      <c r="V48" s="12"/>
      <c r="W48" s="122">
        <v>6552502.1175149605</v>
      </c>
      <c r="X48" s="122">
        <v>-4547845.2417161614</v>
      </c>
      <c r="Y48" s="12"/>
      <c r="Z48" s="108">
        <f t="shared" si="8"/>
        <v>-165418.39017414115</v>
      </c>
      <c r="AB48" s="108">
        <v>-17232.035770222748</v>
      </c>
      <c r="AC48" s="145"/>
      <c r="AD48" s="12">
        <f t="shared" si="6"/>
        <v>5681764.2652226044</v>
      </c>
      <c r="AE48" s="108" t="e">
        <f t="shared" si="7"/>
        <v>#REF!</v>
      </c>
      <c r="AF48" s="108">
        <f t="shared" si="1"/>
        <v>0</v>
      </c>
      <c r="AG48" s="108" t="e">
        <f>#REF!</f>
        <v>#REF!</v>
      </c>
      <c r="AH48" s="145"/>
      <c r="AI48" s="145"/>
    </row>
    <row r="49" spans="1:35" s="2" customFormat="1" ht="15.75" x14ac:dyDescent="0.5">
      <c r="A49" s="19">
        <v>2</v>
      </c>
      <c r="B49" s="32" t="s">
        <v>33</v>
      </c>
      <c r="C49" s="124" t="e">
        <f>VLOOKUP($B49,#REF!,8,FALSE)</f>
        <v>#REF!</v>
      </c>
      <c r="D49" s="33">
        <v>6.8798809690934753E-3</v>
      </c>
      <c r="E49" s="33">
        <v>6.5787483518613297E-3</v>
      </c>
      <c r="F49" s="181">
        <f t="shared" si="2"/>
        <v>0.95622996697400364</v>
      </c>
      <c r="G49" s="119"/>
      <c r="H49" s="27">
        <v>-3964154.2959084781</v>
      </c>
      <c r="I49" s="27">
        <v>3790643.1314564175</v>
      </c>
      <c r="J49" s="37">
        <f t="shared" si="3"/>
        <v>-173511.16445206059</v>
      </c>
      <c r="L49" s="108">
        <v>1409167.8969686967</v>
      </c>
      <c r="M49" s="108">
        <v>-1473670.5035798221</v>
      </c>
      <c r="N49" s="108">
        <f t="shared" si="4"/>
        <v>-64502.606611125404</v>
      </c>
      <c r="P49" s="108">
        <v>128864.90428366413</v>
      </c>
      <c r="Q49" s="108">
        <v>-134763.50745569923</v>
      </c>
      <c r="R49" s="108">
        <f t="shared" si="5"/>
        <v>-5898.603172035102</v>
      </c>
      <c r="T49" s="27">
        <v>1409167.8969686967</v>
      </c>
      <c r="U49" s="27">
        <v>128864.90428366416</v>
      </c>
      <c r="V49" s="12"/>
      <c r="W49" s="122">
        <v>173977.76197204692</v>
      </c>
      <c r="X49" s="122">
        <v>-1301201.0001522978</v>
      </c>
      <c r="Y49" s="12"/>
      <c r="Z49" s="108">
        <f t="shared" si="8"/>
        <v>166897.18883688888</v>
      </c>
      <c r="AB49" s="108">
        <v>-2613.9062463120413</v>
      </c>
      <c r="AC49" s="145"/>
      <c r="AD49" s="12">
        <f t="shared" si="6"/>
        <v>1467631.5914692003</v>
      </c>
      <c r="AE49" s="108" t="e">
        <f t="shared" si="7"/>
        <v>#REF!</v>
      </c>
      <c r="AF49" s="108">
        <f t="shared" si="1"/>
        <v>0</v>
      </c>
      <c r="AG49" s="108" t="e">
        <f>#REF!</f>
        <v>#REF!</v>
      </c>
      <c r="AH49" s="145"/>
      <c r="AI49" s="145"/>
    </row>
    <row r="50" spans="1:35" s="2" customFormat="1" ht="15.75" x14ac:dyDescent="0.5">
      <c r="A50" s="19">
        <v>2</v>
      </c>
      <c r="B50" s="32" t="s">
        <v>34</v>
      </c>
      <c r="C50" s="124" t="e">
        <f>VLOOKUP($B50,#REF!,8,FALSE)</f>
        <v>#REF!</v>
      </c>
      <c r="D50" s="33">
        <v>5.143459742504684E-3</v>
      </c>
      <c r="E50" s="33">
        <v>5.6272225188940496E-3</v>
      </c>
      <c r="F50" s="181">
        <f t="shared" si="2"/>
        <v>1.0940539637924316</v>
      </c>
      <c r="G50" s="119"/>
      <c r="H50" s="27">
        <v>-2963636.7439608285</v>
      </c>
      <c r="I50" s="27">
        <v>3242378.5269712396</v>
      </c>
      <c r="J50" s="37">
        <f t="shared" si="3"/>
        <v>278741.78301041108</v>
      </c>
      <c r="L50" s="108">
        <v>1205351.0635471055</v>
      </c>
      <c r="M50" s="108">
        <v>-1101729.0768445032</v>
      </c>
      <c r="N50" s="108">
        <f t="shared" si="4"/>
        <v>103621.98670260236</v>
      </c>
      <c r="P50" s="108">
        <v>110226.36107900275</v>
      </c>
      <c r="Q50" s="108">
        <v>-100750.38775684683</v>
      </c>
      <c r="R50" s="108">
        <f t="shared" si="5"/>
        <v>9475.9733221559145</v>
      </c>
      <c r="T50" s="27">
        <v>1205351.0635471055</v>
      </c>
      <c r="U50" s="27">
        <v>110226.36107900276</v>
      </c>
      <c r="V50" s="12"/>
      <c r="W50" s="122">
        <v>-129039.80135337356</v>
      </c>
      <c r="X50" s="122">
        <v>-1229650.1985415344</v>
      </c>
      <c r="Y50" s="12"/>
      <c r="Z50" s="108">
        <f t="shared" si="8"/>
        <v>348727.16776636965</v>
      </c>
      <c r="AB50" s="108">
        <v>-2275.5184100002743</v>
      </c>
      <c r="AC50" s="145"/>
      <c r="AD50" s="12">
        <f t="shared" si="6"/>
        <v>1428675.3846508665</v>
      </c>
      <c r="AE50" s="108" t="e">
        <f t="shared" si="7"/>
        <v>#REF!</v>
      </c>
      <c r="AF50" s="108">
        <f t="shared" si="1"/>
        <v>0</v>
      </c>
      <c r="AG50" s="108" t="e">
        <f>#REF!</f>
        <v>#REF!</v>
      </c>
      <c r="AH50" s="145"/>
      <c r="AI50" s="145"/>
    </row>
    <row r="51" spans="1:35" s="2" customFormat="1" ht="15.75" x14ac:dyDescent="0.5">
      <c r="A51" s="19">
        <v>1</v>
      </c>
      <c r="B51" s="32" t="s">
        <v>17</v>
      </c>
      <c r="C51" s="124" t="e">
        <f>VLOOKUP($B51,#REF!,8,FALSE)</f>
        <v>#REF!</v>
      </c>
      <c r="D51" s="33">
        <v>3.7641073612079619E-4</v>
      </c>
      <c r="E51" s="33">
        <v>1.4918775396774577E-4</v>
      </c>
      <c r="F51" s="181">
        <f t="shared" si="2"/>
        <v>0.39634298294793868</v>
      </c>
      <c r="G51" s="119"/>
      <c r="H51" s="27">
        <v>-216886.05418066401</v>
      </c>
      <c r="I51" s="27">
        <v>85961.265673772607</v>
      </c>
      <c r="J51" s="37">
        <f t="shared" si="3"/>
        <v>-130924.7885068914</v>
      </c>
      <c r="L51" s="108">
        <v>31956.016899891143</v>
      </c>
      <c r="M51" s="108">
        <v>-80627.179677074528</v>
      </c>
      <c r="N51" s="108">
        <f t="shared" si="4"/>
        <v>-48671.162777183388</v>
      </c>
      <c r="P51" s="108">
        <v>2922.2983776099345</v>
      </c>
      <c r="Q51" s="108">
        <v>-7373.1553309568526</v>
      </c>
      <c r="R51" s="108">
        <f t="shared" si="5"/>
        <v>-4450.8569533469181</v>
      </c>
      <c r="T51" s="27">
        <v>31956.016899891143</v>
      </c>
      <c r="U51" s="27">
        <v>2922.298377609935</v>
      </c>
      <c r="V51" s="12"/>
      <c r="W51" s="122">
        <v>95802.457036938882</v>
      </c>
      <c r="X51" s="122">
        <v>14344.74090064017</v>
      </c>
      <c r="Y51" s="12"/>
      <c r="Z51" s="108">
        <f t="shared" si="8"/>
        <v>-39021.295022341612</v>
      </c>
      <c r="AB51" s="108">
        <v>28370.106063850457</v>
      </c>
      <c r="AC51" s="145"/>
      <c r="AD51" s="12">
        <f t="shared" si="6"/>
        <v>-18243.70445302923</v>
      </c>
      <c r="AE51" s="108" t="e">
        <f t="shared" si="7"/>
        <v>#REF!</v>
      </c>
      <c r="AF51" s="108">
        <f t="shared" si="1"/>
        <v>0</v>
      </c>
      <c r="AG51" s="108" t="e">
        <f>#REF!</f>
        <v>#REF!</v>
      </c>
      <c r="AH51" s="145"/>
      <c r="AI51" s="145"/>
    </row>
    <row r="52" spans="1:35" s="2" customFormat="1" ht="15.75" x14ac:dyDescent="0.5">
      <c r="A52" s="19">
        <v>2</v>
      </c>
      <c r="B52" s="32" t="s">
        <v>35</v>
      </c>
      <c r="C52" s="124" t="e">
        <f>VLOOKUP($B52,#REF!,8,FALSE)</f>
        <v>#REF!</v>
      </c>
      <c r="D52" s="33">
        <v>2.2593922195442255E-3</v>
      </c>
      <c r="E52" s="33">
        <v>1.2728773780410977E-3</v>
      </c>
      <c r="F52" s="181">
        <f t="shared" si="2"/>
        <v>0.56337158596477244</v>
      </c>
      <c r="G52" s="119"/>
      <c r="H52" s="27">
        <v>-1301850.9206022779</v>
      </c>
      <c r="I52" s="27">
        <v>733425.81782940426</v>
      </c>
      <c r="J52" s="37">
        <f t="shared" si="3"/>
        <v>-568425.10277287359</v>
      </c>
      <c r="L52" s="108">
        <v>272650.33437640313</v>
      </c>
      <c r="M52" s="108">
        <v>-483961.81342637306</v>
      </c>
      <c r="N52" s="108">
        <f t="shared" si="4"/>
        <v>-211311.47904996993</v>
      </c>
      <c r="P52" s="108">
        <v>24933.19590795695</v>
      </c>
      <c r="Q52" s="108">
        <v>-44257.10584118103</v>
      </c>
      <c r="R52" s="108">
        <f t="shared" si="5"/>
        <v>-19323.90993322408</v>
      </c>
      <c r="T52" s="27">
        <v>272650.33437640313</v>
      </c>
      <c r="U52" s="27">
        <v>24933.195907956953</v>
      </c>
      <c r="V52" s="12"/>
      <c r="W52" s="122">
        <v>413020.65234682534</v>
      </c>
      <c r="X52" s="122">
        <v>-74521.744717964757</v>
      </c>
      <c r="Y52" s="12"/>
      <c r="Z52" s="108">
        <f t="shared" si="8"/>
        <v>-162978.05384284692</v>
      </c>
      <c r="AB52" s="108">
        <v>-671.99063748835329</v>
      </c>
      <c r="AC52" s="145"/>
      <c r="AD52" s="12">
        <f t="shared" si="6"/>
        <v>66948.141301166062</v>
      </c>
      <c r="AE52" s="108" t="e">
        <f t="shared" si="7"/>
        <v>#REF!</v>
      </c>
      <c r="AF52" s="108">
        <f t="shared" si="1"/>
        <v>0</v>
      </c>
      <c r="AG52" s="108" t="e">
        <f>#REF!</f>
        <v>#REF!</v>
      </c>
      <c r="AH52" s="145"/>
      <c r="AI52" s="145"/>
    </row>
    <row r="53" spans="1:35" s="2" customFormat="1" ht="15.75" x14ac:dyDescent="0.5">
      <c r="A53" s="19">
        <v>3</v>
      </c>
      <c r="B53" s="32" t="s">
        <v>48</v>
      </c>
      <c r="C53" s="124" t="e">
        <f>VLOOKUP($B53,#REF!,8,FALSE)</f>
        <v>#REF!</v>
      </c>
      <c r="D53" s="33">
        <v>1.0901989906913342E-2</v>
      </c>
      <c r="E53" s="33">
        <v>1.1106165858986704E-2</v>
      </c>
      <c r="F53" s="181">
        <f t="shared" si="2"/>
        <v>1.0187283196752812</v>
      </c>
      <c r="G53" s="119"/>
      <c r="H53" s="27">
        <v>-6281674.1041867016</v>
      </c>
      <c r="I53" s="27">
        <v>6399319.3049058449</v>
      </c>
      <c r="J53" s="37">
        <f t="shared" si="3"/>
        <v>117645.20071914326</v>
      </c>
      <c r="L53" s="108">
        <v>2378940.7269949522</v>
      </c>
      <c r="M53" s="108">
        <v>-2335206.2380608376</v>
      </c>
      <c r="N53" s="108">
        <f t="shared" si="4"/>
        <v>43734.488934114575</v>
      </c>
      <c r="P53" s="108">
        <v>217548.22100345138</v>
      </c>
      <c r="Q53" s="108">
        <v>-213548.81061203318</v>
      </c>
      <c r="R53" s="108">
        <f t="shared" si="5"/>
        <v>3999.4103914182051</v>
      </c>
      <c r="T53" s="27">
        <v>2378940.7269949522</v>
      </c>
      <c r="U53" s="27">
        <v>217548.22100345141</v>
      </c>
      <c r="V53" s="12"/>
      <c r="W53" s="122">
        <v>-219514.74338243436</v>
      </c>
      <c r="X53" s="122">
        <v>-2552817.9509432749</v>
      </c>
      <c r="Y53" s="12"/>
      <c r="Z53" s="108">
        <f t="shared" si="8"/>
        <v>-10464.646282629576</v>
      </c>
      <c r="AB53" s="108">
        <v>-4487.643629897002</v>
      </c>
      <c r="AC53" s="145"/>
      <c r="AD53" s="12">
        <f t="shared" si="6"/>
        <v>2644222.8473239364</v>
      </c>
      <c r="AE53" s="108" t="e">
        <f t="shared" si="7"/>
        <v>#REF!</v>
      </c>
      <c r="AF53" s="108">
        <f t="shared" si="1"/>
        <v>0</v>
      </c>
      <c r="AG53" s="108" t="e">
        <f>#REF!</f>
        <v>#REF!</v>
      </c>
      <c r="AH53" s="145"/>
      <c r="AI53" s="145"/>
    </row>
    <row r="54" spans="1:35" s="2" customFormat="1" ht="15.75" x14ac:dyDescent="0.5">
      <c r="A54" s="19">
        <v>3</v>
      </c>
      <c r="B54" s="32" t="s">
        <v>49</v>
      </c>
      <c r="C54" s="124" t="e">
        <f>VLOOKUP($B54,#REF!,8,FALSE)</f>
        <v>#REF!</v>
      </c>
      <c r="D54" s="33">
        <v>1.3082985195431229E-2</v>
      </c>
      <c r="E54" s="33">
        <v>1.2353129472310743E-2</v>
      </c>
      <c r="F54" s="181">
        <f t="shared" si="2"/>
        <v>0.94421336474680395</v>
      </c>
      <c r="G54" s="119"/>
      <c r="H54" s="27">
        <v>-7538353.090520028</v>
      </c>
      <c r="I54" s="27">
        <v>7117813.7362493826</v>
      </c>
      <c r="J54" s="37">
        <f t="shared" si="3"/>
        <v>-420539.35427064542</v>
      </c>
      <c r="L54" s="108">
        <v>2646040.3329689614</v>
      </c>
      <c r="M54" s="108">
        <v>-2802375.4288613689</v>
      </c>
      <c r="N54" s="108">
        <f t="shared" si="4"/>
        <v>-156335.09589240747</v>
      </c>
      <c r="P54" s="108">
        <v>241973.81658513224</v>
      </c>
      <c r="Q54" s="108">
        <v>-256270.27282124828</v>
      </c>
      <c r="R54" s="108">
        <f t="shared" si="5"/>
        <v>-14296.456236116035</v>
      </c>
      <c r="T54" s="27">
        <v>2646040.3329689614</v>
      </c>
      <c r="U54" s="27">
        <v>241973.81658513227</v>
      </c>
      <c r="V54" s="12"/>
      <c r="W54" s="122">
        <v>48403.578849374317</v>
      </c>
      <c r="X54" s="122">
        <v>-2754391.4732475048</v>
      </c>
      <c r="Y54" s="12"/>
      <c r="Z54" s="108">
        <f t="shared" si="8"/>
        <v>-409144.65124320565</v>
      </c>
      <c r="AB54" s="108">
        <v>-5157.8818569619225</v>
      </c>
      <c r="AC54" s="145"/>
      <c r="AD54" s="12">
        <f t="shared" si="6"/>
        <v>2717382.5974255702</v>
      </c>
      <c r="AE54" s="108" t="e">
        <f t="shared" si="7"/>
        <v>#REF!</v>
      </c>
      <c r="AF54" s="108">
        <f t="shared" si="1"/>
        <v>0</v>
      </c>
      <c r="AG54" s="108" t="e">
        <f>#REF!</f>
        <v>#REF!</v>
      </c>
      <c r="AH54" s="145"/>
      <c r="AI54" s="145"/>
    </row>
    <row r="55" spans="1:35" s="2" customFormat="1" ht="15.75" x14ac:dyDescent="0.5">
      <c r="A55" s="19">
        <v>3</v>
      </c>
      <c r="B55" s="32" t="s">
        <v>50</v>
      </c>
      <c r="C55" s="124" t="e">
        <f>VLOOKUP($B55,#REF!,8,FALSE)</f>
        <v>#REF!</v>
      </c>
      <c r="D55" s="33">
        <v>1.0758717620536005E-2</v>
      </c>
      <c r="E55" s="33">
        <v>1.3330967394400838E-2</v>
      </c>
      <c r="F55" s="181">
        <f t="shared" si="2"/>
        <v>1.2390851646626526</v>
      </c>
      <c r="G55" s="119"/>
      <c r="H55" s="27">
        <v>-6199121.302462548</v>
      </c>
      <c r="I55" s="27">
        <v>7681239.2398255626</v>
      </c>
      <c r="J55" s="37">
        <f t="shared" si="3"/>
        <v>1482117.9373630146</v>
      </c>
      <c r="L55" s="108">
        <v>2855493.2158806594</v>
      </c>
      <c r="M55" s="108">
        <v>-2304517.314318812</v>
      </c>
      <c r="N55" s="108">
        <f t="shared" si="4"/>
        <v>550975.90156184742</v>
      </c>
      <c r="P55" s="108">
        <v>261127.76251763248</v>
      </c>
      <c r="Q55" s="108">
        <v>-210742.38475668131</v>
      </c>
      <c r="R55" s="108">
        <f t="shared" si="5"/>
        <v>50385.377760951174</v>
      </c>
      <c r="T55" s="27">
        <v>2855493.2158806594</v>
      </c>
      <c r="U55" s="27">
        <v>261127.76251763254</v>
      </c>
      <c r="V55" s="12"/>
      <c r="W55" s="122">
        <v>-1076173.2156970706</v>
      </c>
      <c r="X55" s="122">
        <v>-3371360.9040363333</v>
      </c>
      <c r="Y55" s="12"/>
      <c r="Z55" s="108">
        <f t="shared" si="8"/>
        <v>752566.07535070134</v>
      </c>
      <c r="AB55" s="108">
        <v>-4783.692016308547</v>
      </c>
      <c r="AC55" s="145"/>
      <c r="AD55" s="12">
        <f t="shared" si="6"/>
        <v>3717982.2577210902</v>
      </c>
      <c r="AE55" s="108" t="e">
        <f t="shared" si="7"/>
        <v>#REF!</v>
      </c>
      <c r="AF55" s="108">
        <f t="shared" si="1"/>
        <v>0</v>
      </c>
      <c r="AG55" s="108" t="e">
        <f>#REF!</f>
        <v>#REF!</v>
      </c>
      <c r="AH55" s="145"/>
      <c r="AI55" s="145"/>
    </row>
    <row r="56" spans="1:35" s="2" customFormat="1" ht="15.75" x14ac:dyDescent="0.5">
      <c r="A56" s="19">
        <v>2</v>
      </c>
      <c r="B56" s="32" t="s">
        <v>36</v>
      </c>
      <c r="C56" s="124" t="e">
        <f>VLOOKUP($B56,#REF!,8,FALSE)</f>
        <v>#REF!</v>
      </c>
      <c r="D56" s="33">
        <v>2.3624252535107931E-3</v>
      </c>
      <c r="E56" s="33">
        <v>2.8894370000710125E-3</v>
      </c>
      <c r="F56" s="181">
        <f t="shared" si="2"/>
        <v>1.2230808131503965</v>
      </c>
      <c r="G56" s="119"/>
      <c r="H56" s="27">
        <v>-1361218.0587917154</v>
      </c>
      <c r="I56" s="27">
        <v>1664879.6902219751</v>
      </c>
      <c r="J56" s="37">
        <f t="shared" si="3"/>
        <v>303661.63143025967</v>
      </c>
      <c r="L56" s="108">
        <v>618917.40541521087</v>
      </c>
      <c r="M56" s="108">
        <v>-506031.48930201179</v>
      </c>
      <c r="N56" s="108">
        <f t="shared" si="4"/>
        <v>112885.91611319908</v>
      </c>
      <c r="P56" s="108">
        <v>56598.459544737001</v>
      </c>
      <c r="Q56" s="108">
        <v>-46275.322886434129</v>
      </c>
      <c r="R56" s="108">
        <f t="shared" si="5"/>
        <v>10323.136658302872</v>
      </c>
      <c r="T56" s="27">
        <v>618917.40541521087</v>
      </c>
      <c r="U56" s="27">
        <v>56598.459544737008</v>
      </c>
      <c r="V56" s="12"/>
      <c r="W56" s="122">
        <v>-160832.49231253925</v>
      </c>
      <c r="X56" s="122">
        <v>-665469.68283741374</v>
      </c>
      <c r="Y56" s="12"/>
      <c r="Z56" s="108">
        <f t="shared" si="8"/>
        <v>276084.37401175639</v>
      </c>
      <c r="AB56" s="108">
        <v>-1076.084022684533</v>
      </c>
      <c r="AC56" s="145"/>
      <c r="AD56" s="12">
        <f t="shared" si="6"/>
        <v>798724.91773144982</v>
      </c>
      <c r="AE56" s="108" t="e">
        <f t="shared" si="7"/>
        <v>#REF!</v>
      </c>
      <c r="AF56" s="108">
        <f t="shared" si="1"/>
        <v>0</v>
      </c>
      <c r="AG56" s="108" t="e">
        <f>#REF!</f>
        <v>#REF!</v>
      </c>
      <c r="AH56" s="145"/>
      <c r="AI56" s="145"/>
    </row>
    <row r="57" spans="1:35" s="2" customFormat="1" ht="15.75" x14ac:dyDescent="0.5">
      <c r="A57" s="19">
        <v>2</v>
      </c>
      <c r="B57" s="32" t="s">
        <v>37</v>
      </c>
      <c r="C57" s="124" t="e">
        <f>VLOOKUP($B57,#REF!,8,FALSE)</f>
        <v>#REF!</v>
      </c>
      <c r="D57" s="33">
        <v>2.0182727371638883E-3</v>
      </c>
      <c r="E57" s="33">
        <v>2.2249993049021552E-3</v>
      </c>
      <c r="F57" s="181">
        <f t="shared" si="2"/>
        <v>1.1024274687616118</v>
      </c>
      <c r="G57" s="119"/>
      <c r="H57" s="27">
        <v>-1162919.0355596233</v>
      </c>
      <c r="I57" s="27">
        <v>1282033.88874669</v>
      </c>
      <c r="J57" s="37">
        <f t="shared" si="3"/>
        <v>119114.85318706674</v>
      </c>
      <c r="L57" s="108">
        <v>476594.85111004167</v>
      </c>
      <c r="M57" s="108">
        <v>-432314.02030050481</v>
      </c>
      <c r="N57" s="108">
        <f t="shared" si="4"/>
        <v>44280.830809536856</v>
      </c>
      <c r="P57" s="108">
        <v>43583.415434383103</v>
      </c>
      <c r="Q57" s="108">
        <v>-39534.043435385007</v>
      </c>
      <c r="R57" s="108">
        <f t="shared" si="5"/>
        <v>4049.3719989980964</v>
      </c>
      <c r="T57" s="27">
        <v>476594.85111004167</v>
      </c>
      <c r="U57" s="27">
        <v>43583.415434383111</v>
      </c>
      <c r="V57" s="12"/>
      <c r="W57" s="122">
        <v>-40393.073901371681</v>
      </c>
      <c r="X57" s="122">
        <v>-472356.91612072126</v>
      </c>
      <c r="Y57" s="12"/>
      <c r="Z57" s="108">
        <f t="shared" si="8"/>
        <v>174873.33251793345</v>
      </c>
      <c r="AB57" s="108">
        <v>-865.81391936744444</v>
      </c>
      <c r="AC57" s="145"/>
      <c r="AD57" s="12">
        <f t="shared" si="6"/>
        <v>568508.46935295966</v>
      </c>
      <c r="AE57" s="108" t="e">
        <f t="shared" si="7"/>
        <v>#REF!</v>
      </c>
      <c r="AF57" s="108">
        <f t="shared" si="1"/>
        <v>0</v>
      </c>
      <c r="AG57" s="108" t="e">
        <f>#REF!</f>
        <v>#REF!</v>
      </c>
      <c r="AH57" s="145"/>
      <c r="AI57" s="145"/>
    </row>
    <row r="58" spans="1:35" s="2" customFormat="1" ht="15.75" x14ac:dyDescent="0.5">
      <c r="A58" s="19">
        <v>1</v>
      </c>
      <c r="B58" s="32" t="s">
        <v>18</v>
      </c>
      <c r="C58" s="124" t="e">
        <f>VLOOKUP($B58,#REF!,8,FALSE)</f>
        <v>#REF!</v>
      </c>
      <c r="D58" s="33">
        <v>6.8751603592989415E-4</v>
      </c>
      <c r="E58" s="33">
        <v>6.1784647468474704E-4</v>
      </c>
      <c r="F58" s="181">
        <f t="shared" si="2"/>
        <v>0.89866482001264725</v>
      </c>
      <c r="G58" s="119"/>
      <c r="H58" s="27">
        <v>-396143.43032690161</v>
      </c>
      <c r="I58" s="27">
        <v>356000.16451391764</v>
      </c>
      <c r="J58" s="37">
        <f t="shared" si="3"/>
        <v>-40143.265812983969</v>
      </c>
      <c r="L58" s="108">
        <v>132342.71487747281</v>
      </c>
      <c r="M58" s="108">
        <v>-147265.93489618332</v>
      </c>
      <c r="N58" s="108">
        <f t="shared" si="4"/>
        <v>-14923.220018710505</v>
      </c>
      <c r="P58" s="108">
        <v>12102.412581220357</v>
      </c>
      <c r="Q58" s="108">
        <v>-13467.103987724853</v>
      </c>
      <c r="R58" s="108">
        <f t="shared" si="5"/>
        <v>-1364.6914065044966</v>
      </c>
      <c r="T58" s="27">
        <v>132342.71487747281</v>
      </c>
      <c r="U58" s="27">
        <v>12102.412581220358</v>
      </c>
      <c r="V58" s="12"/>
      <c r="W58" s="122">
        <v>62740.386890978669</v>
      </c>
      <c r="X58" s="122">
        <v>-85069.460764756426</v>
      </c>
      <c r="Y58" s="12"/>
      <c r="Z58" s="108">
        <f t="shared" si="8"/>
        <v>65684.876346716424</v>
      </c>
      <c r="AB58" s="108">
        <v>-307.76744123002322</v>
      </c>
      <c r="AC58" s="145"/>
      <c r="AD58" s="12">
        <f t="shared" si="6"/>
        <v>128157.21603347817</v>
      </c>
      <c r="AE58" s="108" t="e">
        <f t="shared" si="7"/>
        <v>#REF!</v>
      </c>
      <c r="AF58" s="108">
        <f t="shared" si="1"/>
        <v>0</v>
      </c>
      <c r="AG58" s="108" t="e">
        <f>#REF!</f>
        <v>#REF!</v>
      </c>
      <c r="AH58" s="145"/>
      <c r="AI58" s="145"/>
    </row>
    <row r="59" spans="1:35" s="2" customFormat="1" ht="15.75" x14ac:dyDescent="0.5">
      <c r="A59" s="19">
        <v>3</v>
      </c>
      <c r="B59" s="32" t="s">
        <v>51</v>
      </c>
      <c r="C59" s="124" t="e">
        <f>VLOOKUP($B59,#REF!,8,FALSE)</f>
        <v>#REF!</v>
      </c>
      <c r="D59" s="33">
        <v>8.533921663722065E-3</v>
      </c>
      <c r="E59" s="33">
        <v>1.035720926860411E-2</v>
      </c>
      <c r="F59" s="181">
        <f t="shared" si="2"/>
        <v>1.2136517859816889</v>
      </c>
      <c r="G59" s="119"/>
      <c r="H59" s="27">
        <v>-4917204.5819054069</v>
      </c>
      <c r="I59" s="27">
        <v>5967774.1228668401</v>
      </c>
      <c r="J59" s="37">
        <f t="shared" si="3"/>
        <v>1050569.5409614332</v>
      </c>
      <c r="L59" s="108">
        <v>2218514.2253350005</v>
      </c>
      <c r="M59" s="108">
        <v>-1827966.0203692662</v>
      </c>
      <c r="N59" s="108">
        <f t="shared" si="4"/>
        <v>390548.20496573439</v>
      </c>
      <c r="P59" s="108">
        <v>202877.61587155488</v>
      </c>
      <c r="Q59" s="108">
        <v>-167162.95251644435</v>
      </c>
      <c r="R59" s="108">
        <f t="shared" si="5"/>
        <v>35714.663355110533</v>
      </c>
      <c r="T59" s="27">
        <v>2218514.2253350005</v>
      </c>
      <c r="U59" s="27">
        <v>202877.61587155494</v>
      </c>
      <c r="V59" s="12"/>
      <c r="W59" s="122">
        <v>-480938.07181882253</v>
      </c>
      <c r="X59" s="122">
        <v>-2304734.7147459192</v>
      </c>
      <c r="Y59" s="12"/>
      <c r="Z59" s="108">
        <f t="shared" si="8"/>
        <v>1112551.4639240918</v>
      </c>
      <c r="AB59" s="108">
        <v>-3937.3369333992578</v>
      </c>
      <c r="AC59" s="145"/>
      <c r="AD59" s="12">
        <f t="shared" si="6"/>
        <v>2847654.7095274003</v>
      </c>
      <c r="AE59" s="108" t="e">
        <f t="shared" si="7"/>
        <v>#REF!</v>
      </c>
      <c r="AF59" s="108">
        <f t="shared" si="1"/>
        <v>0</v>
      </c>
      <c r="AG59" s="108" t="e">
        <f>#REF!</f>
        <v>#REF!</v>
      </c>
      <c r="AH59" s="145"/>
      <c r="AI59" s="145"/>
    </row>
    <row r="60" spans="1:35" s="2" customFormat="1" ht="15.75" x14ac:dyDescent="0.5">
      <c r="A60" s="19">
        <v>2</v>
      </c>
      <c r="B60" s="32" t="s">
        <v>38</v>
      </c>
      <c r="C60" s="124" t="e">
        <f>VLOOKUP($B60,#REF!,8,FALSE)</f>
        <v>#REF!</v>
      </c>
      <c r="D60" s="33">
        <v>1.7978647366567583E-3</v>
      </c>
      <c r="E60" s="33">
        <v>1.543847103462197E-3</v>
      </c>
      <c r="F60" s="181">
        <f t="shared" si="2"/>
        <v>0.85871148812511733</v>
      </c>
      <c r="G60" s="119"/>
      <c r="H60" s="27">
        <v>-1035921.0066710414</v>
      </c>
      <c r="I60" s="27">
        <v>889557.26921855938</v>
      </c>
      <c r="J60" s="37">
        <f t="shared" si="3"/>
        <v>-146363.73745248199</v>
      </c>
      <c r="L60" s="108">
        <v>330692.04956160259</v>
      </c>
      <c r="M60" s="108">
        <v>-385102.6265918776</v>
      </c>
      <c r="N60" s="108">
        <f t="shared" si="4"/>
        <v>-54410.577030275017</v>
      </c>
      <c r="P60" s="108">
        <v>30240.966605749516</v>
      </c>
      <c r="Q60" s="108">
        <v>-35216.678737787312</v>
      </c>
      <c r="R60" s="108">
        <f t="shared" si="5"/>
        <v>-4975.7121320377955</v>
      </c>
      <c r="T60" s="27">
        <v>330692.04956160259</v>
      </c>
      <c r="U60" s="27">
        <v>30240.966605749523</v>
      </c>
      <c r="V60" s="12"/>
      <c r="W60" s="122">
        <v>151947.32380130456</v>
      </c>
      <c r="X60" s="122">
        <v>-234472.57372705746</v>
      </c>
      <c r="Y60" s="12"/>
      <c r="Z60" s="108">
        <f t="shared" si="8"/>
        <v>72657.739626804454</v>
      </c>
      <c r="AB60" s="108">
        <v>-664.02798737192052</v>
      </c>
      <c r="AC60" s="145"/>
      <c r="AD60" s="12">
        <f t="shared" si="6"/>
        <v>301546.72700503928</v>
      </c>
      <c r="AE60" s="108" t="e">
        <f t="shared" si="7"/>
        <v>#REF!</v>
      </c>
      <c r="AF60" s="108">
        <f t="shared" si="1"/>
        <v>0</v>
      </c>
      <c r="AG60" s="108" t="e">
        <f>#REF!</f>
        <v>#REF!</v>
      </c>
      <c r="AH60" s="145"/>
      <c r="AI60" s="145"/>
    </row>
    <row r="61" spans="1:35" s="2" customFormat="1" ht="15.75" x14ac:dyDescent="0.5">
      <c r="A61" s="19">
        <v>3</v>
      </c>
      <c r="B61" s="32" t="s">
        <v>52</v>
      </c>
      <c r="C61" s="124" t="e">
        <f>VLOOKUP($B61,#REF!,8,FALSE)</f>
        <v>#REF!</v>
      </c>
      <c r="D61" s="33">
        <v>1.6915675243024324E-2</v>
      </c>
      <c r="E61" s="33">
        <v>1.9378610167246631E-2</v>
      </c>
      <c r="F61" s="181">
        <f t="shared" si="2"/>
        <v>1.1456007453937123</v>
      </c>
      <c r="G61" s="119"/>
      <c r="H61" s="27">
        <v>-9746730.6460773274</v>
      </c>
      <c r="I61" s="27">
        <v>11165861.893297924</v>
      </c>
      <c r="J61" s="37">
        <f t="shared" si="3"/>
        <v>1419131.2472205963</v>
      </c>
      <c r="L61" s="108">
        <v>4150898.2978242282</v>
      </c>
      <c r="M61" s="108">
        <v>-3623337.6370558096</v>
      </c>
      <c r="N61" s="108">
        <f t="shared" si="4"/>
        <v>527560.66076841857</v>
      </c>
      <c r="P61" s="108">
        <v>379589.33991541673</v>
      </c>
      <c r="Q61" s="108">
        <v>-331345.22776952462</v>
      </c>
      <c r="R61" s="108">
        <f t="shared" si="5"/>
        <v>48244.112145892112</v>
      </c>
      <c r="T61" s="27">
        <v>4150898.2978242282</v>
      </c>
      <c r="U61" s="27">
        <v>379589.33991541679</v>
      </c>
      <c r="V61" s="12"/>
      <c r="W61" s="122">
        <v>-908508.91459803935</v>
      </c>
      <c r="X61" s="122">
        <v>-4523970.4511816837</v>
      </c>
      <c r="Y61" s="12"/>
      <c r="Z61" s="108">
        <f t="shared" si="8"/>
        <v>1092944.2920948295</v>
      </c>
      <c r="AB61" s="108">
        <v>-7430.358461823871</v>
      </c>
      <c r="AC61" s="145"/>
      <c r="AD61" s="12">
        <f t="shared" si="6"/>
        <v>5106292.4106539562</v>
      </c>
      <c r="AE61" s="108" t="e">
        <f t="shared" si="7"/>
        <v>#REF!</v>
      </c>
      <c r="AF61" s="108">
        <f t="shared" si="1"/>
        <v>0</v>
      </c>
      <c r="AG61" s="108" t="e">
        <f>#REF!</f>
        <v>#REF!</v>
      </c>
      <c r="AH61" s="145"/>
      <c r="AI61" s="145"/>
    </row>
    <row r="62" spans="1:35" s="2" customFormat="1" ht="15.75" x14ac:dyDescent="0.5">
      <c r="A62" s="19">
        <v>2</v>
      </c>
      <c r="B62" s="32" t="s">
        <v>39</v>
      </c>
      <c r="C62" s="124" t="e">
        <f>VLOOKUP($B62,#REF!,8,FALSE)</f>
        <v>#REF!</v>
      </c>
      <c r="D62" s="33">
        <v>4.5152398401763121E-3</v>
      </c>
      <c r="E62" s="33">
        <v>5.0427048671794761E-3</v>
      </c>
      <c r="F62" s="181">
        <f t="shared" si="2"/>
        <v>1.1168188281627511</v>
      </c>
      <c r="G62" s="119"/>
      <c r="H62" s="27">
        <v>-2601659.4603744294</v>
      </c>
      <c r="I62" s="27">
        <v>2905582.269813905</v>
      </c>
      <c r="J62" s="37">
        <f t="shared" si="3"/>
        <v>303922.80943947565</v>
      </c>
      <c r="L62" s="108">
        <v>1080147.3825498438</v>
      </c>
      <c r="M62" s="108">
        <v>-967164.37376576592</v>
      </c>
      <c r="N62" s="108">
        <f t="shared" si="4"/>
        <v>112983.00878407783</v>
      </c>
      <c r="P62" s="108">
        <v>98776.795415193876</v>
      </c>
      <c r="Q62" s="108">
        <v>-88444.779873284351</v>
      </c>
      <c r="R62" s="108">
        <f t="shared" si="5"/>
        <v>10332.015541909524</v>
      </c>
      <c r="T62" s="27">
        <v>1080147.3825498438</v>
      </c>
      <c r="U62" s="27">
        <v>98776.79541519389</v>
      </c>
      <c r="V62" s="12"/>
      <c r="W62" s="122">
        <v>-117441.63494710252</v>
      </c>
      <c r="X62" s="122">
        <v>-1083587.8765827427</v>
      </c>
      <c r="Y62" s="12"/>
      <c r="Z62" s="108">
        <f t="shared" si="8"/>
        <v>405132.50020065531</v>
      </c>
      <c r="AB62" s="108">
        <v>-1944.0023368784084</v>
      </c>
      <c r="AC62" s="145"/>
      <c r="AD62" s="12">
        <f t="shared" si="6"/>
        <v>1302239.2022910248</v>
      </c>
      <c r="AE62" s="108" t="e">
        <f t="shared" si="7"/>
        <v>#REF!</v>
      </c>
      <c r="AF62" s="108">
        <f t="shared" si="1"/>
        <v>0</v>
      </c>
      <c r="AG62" s="108" t="e">
        <f>#REF!</f>
        <v>#REF!</v>
      </c>
      <c r="AH62" s="145"/>
      <c r="AI62" s="145"/>
    </row>
    <row r="63" spans="1:35" s="2" customFormat="1" ht="15.75" x14ac:dyDescent="0.5">
      <c r="A63" s="19">
        <v>2</v>
      </c>
      <c r="B63" s="32" t="s">
        <v>40</v>
      </c>
      <c r="C63" s="124" t="e">
        <f>VLOOKUP($B63,#REF!,8,FALSE)</f>
        <v>#REF!</v>
      </c>
      <c r="D63" s="33">
        <v>2.23887747481092E-3</v>
      </c>
      <c r="E63" s="33">
        <v>2.6320438735035864E-3</v>
      </c>
      <c r="F63" s="181">
        <f t="shared" si="2"/>
        <v>1.175608716026709</v>
      </c>
      <c r="G63" s="119"/>
      <c r="H63" s="27">
        <v>-1290030.42344116</v>
      </c>
      <c r="I63" s="27">
        <v>1516571.0097370537</v>
      </c>
      <c r="J63" s="37">
        <f t="shared" si="3"/>
        <v>226540.58629589365</v>
      </c>
      <c r="L63" s="108">
        <v>563783.79770446825</v>
      </c>
      <c r="M63" s="108">
        <v>-479567.55510449898</v>
      </c>
      <c r="N63" s="108">
        <f t="shared" si="4"/>
        <v>84216.242599969264</v>
      </c>
      <c r="P63" s="108">
        <v>51556.628052732915</v>
      </c>
      <c r="Q63" s="108">
        <v>-43855.26183148985</v>
      </c>
      <c r="R63" s="108">
        <f t="shared" si="5"/>
        <v>7701.3662212430645</v>
      </c>
      <c r="T63" s="27">
        <v>563783.79770446825</v>
      </c>
      <c r="U63" s="27">
        <v>51556.628052732922</v>
      </c>
      <c r="V63" s="12"/>
      <c r="W63" s="122">
        <v>66661.943379616598</v>
      </c>
      <c r="X63" s="122">
        <v>-413483.52147930779</v>
      </c>
      <c r="Y63" s="12"/>
      <c r="Z63" s="108">
        <f t="shared" si="8"/>
        <v>586977.04277461593</v>
      </c>
      <c r="AB63" s="108">
        <v>-1000.4019001584114</v>
      </c>
      <c r="AC63" s="145"/>
      <c r="AD63" s="12">
        <f t="shared" si="6"/>
        <v>707258.03457841347</v>
      </c>
      <c r="AE63" s="108" t="e">
        <f t="shared" si="7"/>
        <v>#REF!</v>
      </c>
      <c r="AF63" s="108">
        <f t="shared" si="1"/>
        <v>0</v>
      </c>
      <c r="AG63" s="108" t="e">
        <f>#REF!</f>
        <v>#REF!</v>
      </c>
      <c r="AH63" s="145"/>
      <c r="AI63" s="145"/>
    </row>
    <row r="64" spans="1:35" ht="6" customHeight="1" x14ac:dyDescent="0.45">
      <c r="A64" s="29"/>
      <c r="B64" s="32"/>
      <c r="C64" s="32"/>
      <c r="D64" s="32"/>
      <c r="E64" s="32"/>
      <c r="G64" s="120"/>
      <c r="H64" s="28"/>
      <c r="I64" s="28"/>
      <c r="J64" s="28"/>
      <c r="L64" s="20"/>
      <c r="M64" s="20"/>
      <c r="N64" s="20"/>
      <c r="P64" s="20"/>
      <c r="Q64" s="20"/>
      <c r="R64" s="20"/>
      <c r="T64" s="28"/>
      <c r="U64" s="28"/>
      <c r="V64" s="12"/>
    </row>
    <row r="65" spans="1:33" x14ac:dyDescent="0.45">
      <c r="A65" s="29"/>
      <c r="B65" s="159" t="s">
        <v>62</v>
      </c>
      <c r="C65" s="39" t="e">
        <f t="shared" ref="C65:J65" si="9">SUM(C6:C63)</f>
        <v>#REF!</v>
      </c>
      <c r="D65" s="34">
        <f>SUM(D6:D63)</f>
        <v>0.99999999999999967</v>
      </c>
      <c r="E65" s="34">
        <f t="shared" si="9"/>
        <v>1.0000000000000002</v>
      </c>
      <c r="F65" s="182">
        <f t="shared" si="2"/>
        <v>1.0000000000000007</v>
      </c>
      <c r="G65" s="121"/>
      <c r="H65" s="35">
        <f t="shared" si="9"/>
        <v>-576195186.18369532</v>
      </c>
      <c r="I65" s="35">
        <f t="shared" si="9"/>
        <v>576195186.18369555</v>
      </c>
      <c r="J65" s="35">
        <f t="shared" si="9"/>
        <v>2.0046718418598175E-7</v>
      </c>
      <c r="L65" s="160">
        <f t="shared" ref="L65:M65" si="10">SUM(L6:L63)</f>
        <v>214199999.99999997</v>
      </c>
      <c r="M65" s="160">
        <f t="shared" si="10"/>
        <v>-214199999.99999988</v>
      </c>
      <c r="N65" s="160">
        <f>SUM(N6:N63)</f>
        <v>1.4365650713443756E-7</v>
      </c>
      <c r="P65" s="160">
        <f t="shared" ref="P65:Q65" si="11">SUM(P6:P63)</f>
        <v>19588058.000000004</v>
      </c>
      <c r="Q65" s="160">
        <f t="shared" si="11"/>
        <v>-19588057.999999993</v>
      </c>
      <c r="R65" s="160">
        <f>SUM(R6:R63)</f>
        <v>6.8102963268756866E-9</v>
      </c>
      <c r="T65" s="160">
        <f t="shared" ref="T65:U65" si="12">SUM(T6:T63)</f>
        <v>214199999.99999997</v>
      </c>
      <c r="U65" s="160">
        <f t="shared" si="12"/>
        <v>19588058.000000007</v>
      </c>
      <c r="V65" s="158"/>
      <c r="W65" s="37">
        <f>SUM(W6:W63)</f>
        <v>-6.8335793912410736E-8</v>
      </c>
      <c r="X65" s="37">
        <f>SUM(X6:X63)</f>
        <v>-214200000.00000024</v>
      </c>
      <c r="Y65" s="20"/>
      <c r="Z65" s="35">
        <f>SUM(Z6:Z63)</f>
        <v>19588058.000000041</v>
      </c>
      <c r="AB65" s="35">
        <f>SUM(AB6:AB63)</f>
        <v>-3.3764990803319961E-11</v>
      </c>
      <c r="AC65" s="261"/>
      <c r="AD65" s="20">
        <f>SUM(AD6:AD64)</f>
        <v>233788058.00000021</v>
      </c>
      <c r="AE65" s="35" t="e">
        <f t="shared" ref="AE65:AG65" si="13">SUM(AE6:AE63)</f>
        <v>#REF!</v>
      </c>
      <c r="AF65" s="35">
        <f t="shared" si="13"/>
        <v>0</v>
      </c>
      <c r="AG65" s="35" t="e">
        <f t="shared" si="13"/>
        <v>#REF!</v>
      </c>
    </row>
    <row r="66" spans="1:33" x14ac:dyDescent="0.45">
      <c r="C66" s="25" t="e">
        <f>C65-C58-C51-C40-C37-C31-C30-C27-C23-C19-C16-C13-C11-C10-C8-C7</f>
        <v>#REF!</v>
      </c>
      <c r="D66" s="11"/>
      <c r="E66" s="10"/>
      <c r="G66" s="21"/>
      <c r="H66" s="23" t="e">
        <f>-0.4*$C$65</f>
        <v>#REF!</v>
      </c>
      <c r="J66" s="14"/>
      <c r="L66" s="20">
        <v>214200000</v>
      </c>
      <c r="M66" s="20"/>
      <c r="N66" s="20"/>
      <c r="P66" s="20">
        <f>20000000-411942</f>
        <v>19588058</v>
      </c>
      <c r="Q66" s="20"/>
      <c r="R66" s="20"/>
      <c r="T66" s="12">
        <v>214200000</v>
      </c>
      <c r="U66" s="12">
        <f>P65</f>
        <v>19588058.000000004</v>
      </c>
      <c r="V66" s="12"/>
      <c r="W66" s="22"/>
      <c r="X66" s="22"/>
      <c r="AE66" s="146">
        <v>0.1</v>
      </c>
      <c r="AF66" s="23">
        <v>0</v>
      </c>
    </row>
    <row r="67" spans="1:33" x14ac:dyDescent="0.45">
      <c r="B67" s="2"/>
      <c r="C67" s="36"/>
      <c r="L67" s="20"/>
      <c r="M67" s="20"/>
      <c r="N67" s="20"/>
      <c r="P67" s="20"/>
      <c r="Q67" s="20"/>
      <c r="R67" s="20"/>
    </row>
    <row r="68" spans="1:33" x14ac:dyDescent="0.45">
      <c r="L68" s="20"/>
      <c r="M68" s="20"/>
      <c r="N68" s="20"/>
      <c r="P68" s="20"/>
      <c r="Q68" s="20"/>
      <c r="R68" s="20"/>
    </row>
    <row r="69" spans="1:33" hidden="1" x14ac:dyDescent="0.45">
      <c r="L69" s="20"/>
      <c r="M69" s="20">
        <v>100000000</v>
      </c>
      <c r="N69" s="20"/>
      <c r="P69" s="20"/>
      <c r="Q69" s="20">
        <v>100000000</v>
      </c>
      <c r="R69" s="20"/>
    </row>
    <row r="70" spans="1:33" x14ac:dyDescent="0.45">
      <c r="C70" s="11"/>
      <c r="H70" s="14" t="e">
        <f>C66</f>
        <v>#REF!</v>
      </c>
      <c r="I70" s="14"/>
    </row>
  </sheetData>
  <mergeCells count="15">
    <mergeCell ref="H3:J3"/>
    <mergeCell ref="A3:A4"/>
    <mergeCell ref="B3:B4"/>
    <mergeCell ref="C3:C4"/>
    <mergeCell ref="D3:E3"/>
    <mergeCell ref="F3:F4"/>
    <mergeCell ref="AE3:AE4"/>
    <mergeCell ref="AF3:AF4"/>
    <mergeCell ref="AG3:AG4"/>
    <mergeCell ref="L3:N3"/>
    <mergeCell ref="P3:R3"/>
    <mergeCell ref="T3:U3"/>
    <mergeCell ref="W3:X3"/>
    <mergeCell ref="Z3:Z4"/>
    <mergeCell ref="AB3:AB4"/>
  </mergeCells>
  <printOptions horizontalCentered="1"/>
  <pageMargins left="0.24" right="0.2" top="0.42" bottom="0.42" header="0.24" footer="0.3"/>
  <pageSetup scale="47" fitToHeight="2" orientation="landscape" r:id="rId1"/>
  <headerFooter>
    <oddHeader>&amp;R&amp;"-,Bold"&amp;14 9I</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9"/>
    <pageSetUpPr fitToPage="1"/>
  </sheetPr>
  <dimension ref="B1:Q67"/>
  <sheetViews>
    <sheetView showGridLines="0" zoomScaleNormal="100" workbookViewId="0">
      <pane xSplit="2" ySplit="5" topLeftCell="D37" activePane="bottomRight" state="frozen"/>
      <selection activeCell="DX70" sqref="DX70"/>
      <selection pane="topRight" activeCell="DX70" sqref="DX70"/>
      <selection pane="bottomLeft" activeCell="DX70" sqref="DX70"/>
      <selection pane="bottomRight" activeCell="DX70" sqref="DX70"/>
    </sheetView>
  </sheetViews>
  <sheetFormatPr defaultColWidth="9.1328125" defaultRowHeight="15.4" x14ac:dyDescent="0.45"/>
  <cols>
    <col min="1" max="1" width="1.59765625" style="3" customWidth="1"/>
    <col min="2" max="2" width="15.3984375" style="3" bestFit="1" customWidth="1"/>
    <col min="3" max="3" width="15.59765625" style="3" bestFit="1" customWidth="1"/>
    <col min="4" max="6" width="13.86328125" style="3" customWidth="1"/>
    <col min="7" max="7" width="13.3984375" style="3" bestFit="1" customWidth="1"/>
    <col min="8" max="8" width="13.3984375" style="17" bestFit="1" customWidth="1"/>
    <col min="9" max="9" width="11.3984375" style="3" bestFit="1" customWidth="1"/>
    <col min="10" max="10" width="13.59765625" style="3" bestFit="1" customWidth="1"/>
    <col min="11" max="11" width="15.3984375" style="3" customWidth="1"/>
    <col min="12" max="12" width="13.1328125" style="3" customWidth="1"/>
    <col min="13" max="13" width="14.86328125" style="3" customWidth="1"/>
    <col min="14" max="14" width="14" style="3" bestFit="1" customWidth="1"/>
    <col min="15" max="15" width="16.86328125" style="3" bestFit="1" customWidth="1"/>
    <col min="16" max="16" width="14" style="3" bestFit="1" customWidth="1"/>
    <col min="17" max="17" width="16.86328125" style="3" bestFit="1" customWidth="1"/>
    <col min="18" max="18" width="3.1328125" style="3" customWidth="1"/>
    <col min="19" max="16384" width="9.1328125" style="3"/>
  </cols>
  <sheetData>
    <row r="1" spans="2:17" ht="21" customHeight="1" x14ac:dyDescent="0.45">
      <c r="B1" s="153" t="s">
        <v>171</v>
      </c>
      <c r="C1" s="165"/>
      <c r="D1" s="165"/>
      <c r="E1" s="270"/>
      <c r="F1" s="270"/>
      <c r="G1" s="165"/>
      <c r="H1" s="165"/>
      <c r="I1" s="165"/>
      <c r="J1" s="165"/>
      <c r="K1" s="165"/>
      <c r="L1" s="246"/>
      <c r="M1" s="246"/>
      <c r="N1" s="165"/>
      <c r="O1" s="165"/>
      <c r="P1" s="165"/>
      <c r="Q1" s="165"/>
    </row>
    <row r="2" spans="2:17" ht="19.899999999999999" x14ac:dyDescent="0.45">
      <c r="B2" s="165"/>
      <c r="C2" s="165"/>
      <c r="D2" s="165"/>
      <c r="E2" s="270"/>
      <c r="F2" s="270"/>
      <c r="G2" s="165"/>
      <c r="H2" s="165"/>
      <c r="I2" s="165"/>
      <c r="J2" s="165"/>
      <c r="K2" s="165"/>
      <c r="L2" s="246"/>
      <c r="M2" s="246"/>
      <c r="N2" s="165"/>
      <c r="O2" s="165"/>
      <c r="P2" s="165"/>
      <c r="Q2" s="165"/>
    </row>
    <row r="3" spans="2:17" ht="5.25" customHeight="1" x14ac:dyDescent="0.45">
      <c r="B3" s="165"/>
      <c r="C3" s="165"/>
      <c r="D3" s="165"/>
      <c r="E3" s="270"/>
      <c r="F3" s="270"/>
      <c r="G3" s="165"/>
      <c r="H3" s="165"/>
      <c r="I3" s="165"/>
      <c r="J3" s="165"/>
      <c r="K3" s="165"/>
      <c r="L3" s="246"/>
      <c r="M3" s="246"/>
      <c r="N3" s="165"/>
      <c r="O3" s="165"/>
      <c r="P3" s="165"/>
      <c r="Q3" s="165"/>
    </row>
    <row r="4" spans="2:17" ht="68.25" customHeight="1" x14ac:dyDescent="0.45">
      <c r="B4" s="26"/>
      <c r="C4" s="4" t="s">
        <v>216</v>
      </c>
      <c r="D4" s="4" t="s">
        <v>447</v>
      </c>
      <c r="E4" s="162" t="s">
        <v>509</v>
      </c>
      <c r="F4" s="162" t="s">
        <v>510</v>
      </c>
      <c r="G4" s="4" t="s">
        <v>64</v>
      </c>
      <c r="H4" s="4" t="s">
        <v>75</v>
      </c>
      <c r="I4" s="4" t="s">
        <v>65</v>
      </c>
      <c r="J4" s="4" t="s">
        <v>66</v>
      </c>
      <c r="K4" s="4" t="s">
        <v>446</v>
      </c>
      <c r="L4" s="4" t="s">
        <v>449</v>
      </c>
      <c r="M4" s="4" t="s">
        <v>448</v>
      </c>
      <c r="N4" s="4" t="s">
        <v>172</v>
      </c>
      <c r="O4" s="4" t="s">
        <v>174</v>
      </c>
      <c r="P4" s="4" t="s">
        <v>173</v>
      </c>
      <c r="Q4" s="4" t="s">
        <v>175</v>
      </c>
    </row>
    <row r="5" spans="2:17" ht="30.4" x14ac:dyDescent="0.45">
      <c r="B5" s="5" t="s">
        <v>63</v>
      </c>
      <c r="C5" s="16" t="s">
        <v>68</v>
      </c>
      <c r="D5" s="16" t="s">
        <v>1</v>
      </c>
      <c r="E5" s="163" t="s">
        <v>69</v>
      </c>
      <c r="F5" s="163" t="s">
        <v>2</v>
      </c>
      <c r="G5" s="163" t="s">
        <v>3</v>
      </c>
      <c r="H5" s="163" t="s">
        <v>142</v>
      </c>
      <c r="I5" s="163" t="s">
        <v>70</v>
      </c>
      <c r="J5" s="163" t="s">
        <v>143</v>
      </c>
      <c r="K5" s="163" t="s">
        <v>144</v>
      </c>
      <c r="L5" s="163" t="s">
        <v>145</v>
      </c>
      <c r="M5" s="163" t="s">
        <v>146</v>
      </c>
      <c r="N5" s="163" t="s">
        <v>147</v>
      </c>
      <c r="O5" s="163" t="s">
        <v>511</v>
      </c>
      <c r="P5" s="163" t="s">
        <v>148</v>
      </c>
      <c r="Q5" s="163" t="s">
        <v>512</v>
      </c>
    </row>
    <row r="6" spans="2:17" x14ac:dyDescent="0.45">
      <c r="B6" s="6" t="s">
        <v>53</v>
      </c>
      <c r="C6" s="9">
        <v>74815019.62799333</v>
      </c>
      <c r="D6" s="251">
        <v>0</v>
      </c>
      <c r="E6" s="271">
        <v>34321.58</v>
      </c>
      <c r="F6" s="271">
        <v>0</v>
      </c>
      <c r="G6" s="9">
        <v>-3212245.58</v>
      </c>
      <c r="H6" s="251">
        <v>-1954952.1</v>
      </c>
      <c r="I6" s="9">
        <v>101575.27107422076</v>
      </c>
      <c r="J6" s="9">
        <v>424791.99999999994</v>
      </c>
      <c r="K6" s="251">
        <v>99248.209999999977</v>
      </c>
      <c r="L6" s="251">
        <v>645929.30959900026</v>
      </c>
      <c r="M6" s="251">
        <v>795745.19654094125</v>
      </c>
      <c r="N6" s="9">
        <f>'9I FY 16-17 Alloc and Realloc'!Z6</f>
        <v>-436742.98276451789</v>
      </c>
      <c r="O6" s="7">
        <f>SUM(C6:N6)</f>
        <v>71312690.532442972</v>
      </c>
      <c r="P6" s="9">
        <f>'9I FY 16-17 Alloc and Realloc'!AB6</f>
        <v>-16516.52238594653</v>
      </c>
      <c r="Q6" s="7">
        <f>SUM(O6:P6)</f>
        <v>71296174.010057032</v>
      </c>
    </row>
    <row r="7" spans="2:17" x14ac:dyDescent="0.45">
      <c r="B7" s="6" t="s">
        <v>4</v>
      </c>
      <c r="C7" s="9">
        <v>745695.95795229019</v>
      </c>
      <c r="D7" s="251">
        <v>0</v>
      </c>
      <c r="E7" s="271">
        <v>0</v>
      </c>
      <c r="F7" s="271">
        <v>0</v>
      </c>
      <c r="G7" s="9">
        <v>0</v>
      </c>
      <c r="H7" s="251">
        <v>0</v>
      </c>
      <c r="I7" s="9">
        <v>83.463325837999363</v>
      </c>
      <c r="J7" s="9">
        <v>2034</v>
      </c>
      <c r="K7" s="251">
        <v>20</v>
      </c>
      <c r="L7" s="251">
        <v>-17093.490881000002</v>
      </c>
      <c r="M7" s="251">
        <v>3088.4963027690574</v>
      </c>
      <c r="N7" s="9">
        <f>'9I FY 16-17 Alloc and Realloc'!Z7</f>
        <v>-19759.021113789757</v>
      </c>
      <c r="O7" s="7">
        <f t="shared" ref="O7:O63" si="0">SUM(C7:N7)</f>
        <v>714069.40558610752</v>
      </c>
      <c r="P7" s="9">
        <f>'9I FY 16-17 Alloc and Realloc'!AB7</f>
        <v>35930.594413892482</v>
      </c>
      <c r="Q7" s="7">
        <f t="shared" ref="Q7:Q63" si="1">SUM(O7:P7)</f>
        <v>750000</v>
      </c>
    </row>
    <row r="8" spans="2:17" x14ac:dyDescent="0.45">
      <c r="B8" s="6" t="s">
        <v>5</v>
      </c>
      <c r="C8" s="9">
        <v>2171075.1407982367</v>
      </c>
      <c r="D8" s="251">
        <v>0</v>
      </c>
      <c r="E8" s="271">
        <v>0</v>
      </c>
      <c r="F8" s="271">
        <v>0</v>
      </c>
      <c r="G8" s="9">
        <v>0</v>
      </c>
      <c r="H8" s="251">
        <v>0</v>
      </c>
      <c r="I8" s="9">
        <v>2564.6309461566721</v>
      </c>
      <c r="J8" s="9">
        <v>11006</v>
      </c>
      <c r="K8" s="251">
        <v>606.27</v>
      </c>
      <c r="L8" s="251">
        <v>41318.844359999988</v>
      </c>
      <c r="M8" s="251">
        <v>11783.260124634671</v>
      </c>
      <c r="N8" s="9">
        <f>'9I FY 16-17 Alloc and Realloc'!Z8</f>
        <v>59048.137327196717</v>
      </c>
      <c r="O8" s="7">
        <f t="shared" si="0"/>
        <v>2297402.2835562243</v>
      </c>
      <c r="P8" s="9">
        <f>'9I FY 16-17 Alloc and Realloc'!AB8</f>
        <v>-532.09458179983164</v>
      </c>
      <c r="Q8" s="7">
        <f t="shared" si="1"/>
        <v>2296870.1889744243</v>
      </c>
    </row>
    <row r="9" spans="2:17" x14ac:dyDescent="0.45">
      <c r="B9" s="6" t="s">
        <v>19</v>
      </c>
      <c r="C9" s="9">
        <v>9446393.8563158829</v>
      </c>
      <c r="D9" s="251">
        <v>0</v>
      </c>
      <c r="E9" s="271">
        <v>5045.17</v>
      </c>
      <c r="F9" s="271">
        <v>0</v>
      </c>
      <c r="G9" s="9">
        <v>-472190.17</v>
      </c>
      <c r="H9" s="251">
        <v>-319941.75</v>
      </c>
      <c r="I9" s="9">
        <v>14608.368688111203</v>
      </c>
      <c r="J9" s="9">
        <v>59332</v>
      </c>
      <c r="K9" s="251">
        <v>12484.27</v>
      </c>
      <c r="L9" s="251">
        <v>211905.60576000001</v>
      </c>
      <c r="M9" s="251">
        <v>78376.591051167197</v>
      </c>
      <c r="N9" s="9">
        <f>'9I FY 16-17 Alloc and Realloc'!Z9</f>
        <v>375298.94561554398</v>
      </c>
      <c r="O9" s="7">
        <f t="shared" si="0"/>
        <v>9411312.8874307051</v>
      </c>
      <c r="P9" s="9">
        <f>'9I FY 16-17 Alloc and Realloc'!AB9</f>
        <v>-2179.726481020647</v>
      </c>
      <c r="Q9" s="7">
        <f t="shared" si="1"/>
        <v>9409133.1609496847</v>
      </c>
    </row>
    <row r="10" spans="2:17" x14ac:dyDescent="0.45">
      <c r="B10" s="6" t="s">
        <v>6</v>
      </c>
      <c r="C10" s="9">
        <v>2049273.4892172099</v>
      </c>
      <c r="D10" s="251">
        <v>0</v>
      </c>
      <c r="E10" s="271">
        <v>0</v>
      </c>
      <c r="F10" s="271">
        <v>0</v>
      </c>
      <c r="G10" s="9">
        <v>0</v>
      </c>
      <c r="H10" s="251">
        <v>0</v>
      </c>
      <c r="I10" s="9">
        <v>3074.2885474462441</v>
      </c>
      <c r="J10" s="9">
        <v>18652</v>
      </c>
      <c r="K10" s="251">
        <v>805.89</v>
      </c>
      <c r="L10" s="251">
        <v>74133.32478000001</v>
      </c>
      <c r="M10" s="251">
        <v>22634.353021895746</v>
      </c>
      <c r="N10" s="9">
        <f>'9I FY 16-17 Alloc and Realloc'!Z10</f>
        <v>22043.476586822886</v>
      </c>
      <c r="O10" s="7">
        <f t="shared" si="0"/>
        <v>2190616.822153375</v>
      </c>
      <c r="P10" s="9">
        <f>'9I FY 16-17 Alloc and Realloc'!AB10</f>
        <v>-507.36231534647993</v>
      </c>
      <c r="Q10" s="7">
        <f t="shared" si="1"/>
        <v>2190109.4598380285</v>
      </c>
    </row>
    <row r="11" spans="2:17" x14ac:dyDescent="0.45">
      <c r="B11" s="6" t="s">
        <v>7</v>
      </c>
      <c r="C11" s="9">
        <v>1684617.957262004</v>
      </c>
      <c r="D11" s="251">
        <v>0</v>
      </c>
      <c r="E11" s="271">
        <v>0</v>
      </c>
      <c r="F11" s="271">
        <v>0</v>
      </c>
      <c r="G11" s="9">
        <v>0</v>
      </c>
      <c r="H11" s="251">
        <v>0</v>
      </c>
      <c r="I11" s="9">
        <v>1446.7873210532171</v>
      </c>
      <c r="J11" s="9">
        <v>13708</v>
      </c>
      <c r="K11" s="251">
        <v>290.73</v>
      </c>
      <c r="L11" s="251">
        <v>24212.925000000003</v>
      </c>
      <c r="M11" s="251">
        <v>7914.3390132103332</v>
      </c>
      <c r="N11" s="9">
        <f>'9I FY 16-17 Alloc and Realloc'!Z11</f>
        <v>-17235.916973671672</v>
      </c>
      <c r="O11" s="7">
        <f t="shared" si="0"/>
        <v>1714954.8216225959</v>
      </c>
      <c r="P11" s="9">
        <f>'9I FY 16-17 Alloc and Realloc'!AB11</f>
        <v>160044.42837740411</v>
      </c>
      <c r="Q11" s="7">
        <f t="shared" si="1"/>
        <v>1874999.25</v>
      </c>
    </row>
    <row r="12" spans="2:17" x14ac:dyDescent="0.45">
      <c r="B12" s="6" t="s">
        <v>41</v>
      </c>
      <c r="C12" s="9">
        <v>39984639.313621119</v>
      </c>
      <c r="D12" s="251">
        <v>0</v>
      </c>
      <c r="E12" s="271">
        <v>0</v>
      </c>
      <c r="F12" s="271">
        <v>0</v>
      </c>
      <c r="G12" s="9">
        <v>0</v>
      </c>
      <c r="H12" s="251">
        <v>-1517511.6666666667</v>
      </c>
      <c r="I12" s="9">
        <v>69230.642998503041</v>
      </c>
      <c r="J12" s="9">
        <v>218185.99999999997</v>
      </c>
      <c r="K12" s="251">
        <v>61618.210000000006</v>
      </c>
      <c r="L12" s="251">
        <v>-783109.14010000008</v>
      </c>
      <c r="M12" s="251">
        <v>504413.11436859955</v>
      </c>
      <c r="N12" s="9">
        <f>'9I FY 16-17 Alloc and Realloc'!Z12</f>
        <v>-807632.70521953143</v>
      </c>
      <c r="O12" s="7">
        <f t="shared" si="0"/>
        <v>37729833.769002028</v>
      </c>
      <c r="P12" s="9">
        <f>'9I FY 16-17 Alloc and Realloc'!AB12</f>
        <v>-8738.4957629702749</v>
      </c>
      <c r="Q12" s="7">
        <f t="shared" si="1"/>
        <v>37721095.273239061</v>
      </c>
    </row>
    <row r="13" spans="2:17" x14ac:dyDescent="0.45">
      <c r="B13" s="6" t="s">
        <v>8</v>
      </c>
      <c r="C13" s="9">
        <v>2469729.0057572704</v>
      </c>
      <c r="D13" s="251">
        <v>0</v>
      </c>
      <c r="E13" s="271">
        <v>0</v>
      </c>
      <c r="F13" s="271">
        <v>0</v>
      </c>
      <c r="G13" s="9">
        <v>0</v>
      </c>
      <c r="H13" s="251">
        <v>-113551.15</v>
      </c>
      <c r="I13" s="9">
        <v>1963.5739413104186</v>
      </c>
      <c r="J13" s="9">
        <v>11208</v>
      </c>
      <c r="K13" s="251">
        <v>447.33</v>
      </c>
      <c r="L13" s="251">
        <v>59257.97750000003</v>
      </c>
      <c r="M13" s="251">
        <v>22599.40599423027</v>
      </c>
      <c r="N13" s="9">
        <f>'9I FY 16-17 Alloc and Realloc'!Z13</f>
        <v>82385.94654569577</v>
      </c>
      <c r="O13" s="7">
        <f t="shared" si="0"/>
        <v>2534040.0897385073</v>
      </c>
      <c r="P13" s="9">
        <f>'9I FY 16-17 Alloc and Realloc'!AB13</f>
        <v>-586.90156768115742</v>
      </c>
      <c r="Q13" s="7">
        <f t="shared" si="1"/>
        <v>2533453.1881708261</v>
      </c>
    </row>
    <row r="14" spans="2:17" x14ac:dyDescent="0.45">
      <c r="B14" s="6" t="s">
        <v>20</v>
      </c>
      <c r="C14" s="9">
        <v>6570653.8439716371</v>
      </c>
      <c r="D14" s="251">
        <v>0</v>
      </c>
      <c r="E14" s="271">
        <v>0</v>
      </c>
      <c r="F14" s="271">
        <v>0</v>
      </c>
      <c r="G14" s="9">
        <v>0</v>
      </c>
      <c r="H14" s="251">
        <v>-151060.34999999998</v>
      </c>
      <c r="I14" s="9">
        <v>11850.581680869331</v>
      </c>
      <c r="J14" s="9">
        <v>54373.999999999993</v>
      </c>
      <c r="K14" s="251">
        <v>3313.23</v>
      </c>
      <c r="L14" s="251">
        <v>98370.719519999984</v>
      </c>
      <c r="M14" s="251">
        <v>9370.9982527934681</v>
      </c>
      <c r="N14" s="9">
        <f>'9I FY 16-17 Alloc and Realloc'!Z14</f>
        <v>-34773.919091926655</v>
      </c>
      <c r="O14" s="7">
        <f t="shared" si="0"/>
        <v>6562099.1043333737</v>
      </c>
      <c r="P14" s="9">
        <f>'9I FY 16-17 Alloc and Realloc'!AB14</f>
        <v>-1519.8284617548413</v>
      </c>
      <c r="Q14" s="7">
        <f t="shared" si="1"/>
        <v>6560579.2758716187</v>
      </c>
    </row>
    <row r="15" spans="2:17" x14ac:dyDescent="0.45">
      <c r="B15" s="6" t="s">
        <v>42</v>
      </c>
      <c r="C15" s="9">
        <v>44631872.801430397</v>
      </c>
      <c r="D15" s="251">
        <v>0</v>
      </c>
      <c r="E15" s="271">
        <v>0</v>
      </c>
      <c r="F15" s="271">
        <v>0</v>
      </c>
      <c r="G15" s="9">
        <v>0</v>
      </c>
      <c r="H15" s="251">
        <v>-977527.66666666674</v>
      </c>
      <c r="I15" s="9">
        <v>60496.720449510205</v>
      </c>
      <c r="J15" s="9">
        <v>181080</v>
      </c>
      <c r="K15" s="251">
        <v>57714.34</v>
      </c>
      <c r="L15" s="251">
        <v>252326.24379835924</v>
      </c>
      <c r="M15" s="251">
        <v>456560.52901622013</v>
      </c>
      <c r="N15" s="9">
        <f>'9I FY 16-17 Alloc and Realloc'!Z15</f>
        <v>2960294.8568789288</v>
      </c>
      <c r="O15" s="7">
        <f t="shared" si="0"/>
        <v>47622817.824906752</v>
      </c>
      <c r="P15" s="9">
        <f>'9I FY 16-17 Alloc and Realloc'!AB15</f>
        <v>-11029.780685796548</v>
      </c>
      <c r="Q15" s="7">
        <f t="shared" si="1"/>
        <v>47611788.044220954</v>
      </c>
    </row>
    <row r="16" spans="2:17" x14ac:dyDescent="0.45">
      <c r="B16" s="6" t="s">
        <v>9</v>
      </c>
      <c r="C16" s="9">
        <v>1854656.3739310827</v>
      </c>
      <c r="D16" s="251">
        <v>0</v>
      </c>
      <c r="E16" s="271">
        <v>105.61</v>
      </c>
      <c r="F16" s="271">
        <v>0</v>
      </c>
      <c r="G16" s="9">
        <v>-9884.61</v>
      </c>
      <c r="H16" s="251">
        <v>0</v>
      </c>
      <c r="I16" s="9">
        <v>1926.9200230334568</v>
      </c>
      <c r="J16" s="9">
        <v>19264</v>
      </c>
      <c r="K16" s="251">
        <v>514.26</v>
      </c>
      <c r="L16" s="251">
        <v>27501.118949999996</v>
      </c>
      <c r="M16" s="251">
        <v>11898.75273159813</v>
      </c>
      <c r="N16" s="9">
        <f>'9I FY 16-17 Alloc and Realloc'!Z16</f>
        <v>-94502.326597337727</v>
      </c>
      <c r="O16" s="7">
        <f t="shared" si="0"/>
        <v>1811480.0990383765</v>
      </c>
      <c r="P16" s="9">
        <f>'9I FY 16-17 Alloc and Realloc'!AB16</f>
        <v>63519.150961623527</v>
      </c>
      <c r="Q16" s="7">
        <f t="shared" si="1"/>
        <v>1874999.25</v>
      </c>
    </row>
    <row r="17" spans="2:17" x14ac:dyDescent="0.45">
      <c r="B17" s="6" t="s">
        <v>21</v>
      </c>
      <c r="C17" s="9">
        <v>5949966.2280237945</v>
      </c>
      <c r="D17" s="251">
        <v>0</v>
      </c>
      <c r="E17" s="271">
        <v>1812.24</v>
      </c>
      <c r="F17" s="271">
        <v>0</v>
      </c>
      <c r="G17" s="9">
        <v>-169612.24</v>
      </c>
      <c r="H17" s="251">
        <v>-151122.93</v>
      </c>
      <c r="I17" s="9">
        <v>8913.0223368305433</v>
      </c>
      <c r="J17" s="9">
        <v>48160</v>
      </c>
      <c r="K17" s="251">
        <v>7622.4300000000012</v>
      </c>
      <c r="L17" s="251">
        <v>56492.728414199933</v>
      </c>
      <c r="M17" s="251">
        <v>67869.008856604894</v>
      </c>
      <c r="N17" s="9">
        <f>'9I FY 16-17 Alloc and Realloc'!Z17</f>
        <v>173992.04560032394</v>
      </c>
      <c r="O17" s="7">
        <f t="shared" si="0"/>
        <v>5994092.5332317539</v>
      </c>
      <c r="P17" s="9">
        <f>'9I FY 16-17 Alloc and Realloc'!AB17</f>
        <v>-1388.2741314257028</v>
      </c>
      <c r="Q17" s="7">
        <f t="shared" si="1"/>
        <v>5992704.2591003282</v>
      </c>
    </row>
    <row r="18" spans="2:17" x14ac:dyDescent="0.45">
      <c r="B18" s="6" t="s">
        <v>22</v>
      </c>
      <c r="C18" s="9">
        <v>8220422.2939573908</v>
      </c>
      <c r="D18" s="251">
        <v>0</v>
      </c>
      <c r="E18" s="271">
        <v>4541.17</v>
      </c>
      <c r="F18" s="271">
        <v>0</v>
      </c>
      <c r="G18" s="9">
        <v>-425020.17</v>
      </c>
      <c r="H18" s="251">
        <v>-198986.69230769222</v>
      </c>
      <c r="I18" s="9">
        <v>11203.656837004935</v>
      </c>
      <c r="J18" s="9">
        <v>67678</v>
      </c>
      <c r="K18" s="251">
        <v>7696.55</v>
      </c>
      <c r="L18" s="251">
        <v>120442.49130000002</v>
      </c>
      <c r="M18" s="251">
        <v>101173.77436216506</v>
      </c>
      <c r="N18" s="9">
        <f>'9I FY 16-17 Alloc and Realloc'!Z18</f>
        <v>174719.61654909397</v>
      </c>
      <c r="O18" s="7">
        <f t="shared" si="0"/>
        <v>8083870.6906979633</v>
      </c>
      <c r="P18" s="9">
        <f>'9I FY 16-17 Alloc and Realloc'!AB18</f>
        <v>-1872.2815004051429</v>
      </c>
      <c r="Q18" s="7">
        <f t="shared" si="1"/>
        <v>8081998.4091975586</v>
      </c>
    </row>
    <row r="19" spans="2:17" x14ac:dyDescent="0.45">
      <c r="B19" s="6" t="s">
        <v>10</v>
      </c>
      <c r="C19" s="9">
        <v>2018390.5488685267</v>
      </c>
      <c r="D19" s="251">
        <v>0</v>
      </c>
      <c r="E19" s="271">
        <v>2015.91</v>
      </c>
      <c r="F19" s="271">
        <v>0</v>
      </c>
      <c r="G19" s="9">
        <v>-188673.91</v>
      </c>
      <c r="H19" s="251">
        <v>0</v>
      </c>
      <c r="I19" s="9">
        <v>1245.2243979778875</v>
      </c>
      <c r="J19" s="9">
        <v>30402</v>
      </c>
      <c r="K19" s="251">
        <v>258.36</v>
      </c>
      <c r="L19" s="251">
        <v>38620.598366400001</v>
      </c>
      <c r="M19" s="251">
        <v>16190.954443339884</v>
      </c>
      <c r="N19" s="9">
        <f>'9I FY 16-17 Alloc and Realloc'!Z19</f>
        <v>-36938.671072217563</v>
      </c>
      <c r="O19" s="7">
        <f t="shared" si="0"/>
        <v>1881511.0150040269</v>
      </c>
      <c r="P19" s="9">
        <f>'9I FY 16-17 Alloc and Realloc'!AB19</f>
        <v>-435.77122902944285</v>
      </c>
      <c r="Q19" s="7">
        <f t="shared" si="1"/>
        <v>1881075.2437749975</v>
      </c>
    </row>
    <row r="20" spans="2:17" x14ac:dyDescent="0.45">
      <c r="B20" s="6" t="s">
        <v>43</v>
      </c>
      <c r="C20" s="9">
        <v>41796191.500739165</v>
      </c>
      <c r="D20" s="251">
        <v>0</v>
      </c>
      <c r="E20" s="271">
        <v>708.12</v>
      </c>
      <c r="F20" s="271">
        <v>0</v>
      </c>
      <c r="G20" s="9">
        <v>-66275.12</v>
      </c>
      <c r="H20" s="251">
        <v>-1483486.5428571426</v>
      </c>
      <c r="I20" s="9">
        <v>52450.008427038454</v>
      </c>
      <c r="J20" s="9">
        <v>277328</v>
      </c>
      <c r="K20" s="251">
        <v>51265.350000000006</v>
      </c>
      <c r="L20" s="251">
        <v>988356.51880000043</v>
      </c>
      <c r="M20" s="251">
        <v>272793.43364074931</v>
      </c>
      <c r="N20" s="9">
        <f>'9I FY 16-17 Alloc and Realloc'!Z20</f>
        <v>3029897.6874150811</v>
      </c>
      <c r="O20" s="7">
        <f t="shared" si="0"/>
        <v>44919228.956164889</v>
      </c>
      <c r="P20" s="9">
        <f>'9I FY 16-17 Alloc and Realloc'!AB20</f>
        <v>-10403.610424380649</v>
      </c>
      <c r="Q20" s="7">
        <f t="shared" si="1"/>
        <v>44908825.345740512</v>
      </c>
    </row>
    <row r="21" spans="2:17" x14ac:dyDescent="0.45">
      <c r="B21" s="6" t="s">
        <v>23</v>
      </c>
      <c r="C21" s="9">
        <v>6360981.707122989</v>
      </c>
      <c r="D21" s="251">
        <v>0</v>
      </c>
      <c r="E21" s="271">
        <v>4556.71</v>
      </c>
      <c r="F21" s="271">
        <v>0</v>
      </c>
      <c r="G21" s="9">
        <v>-426474.71</v>
      </c>
      <c r="H21" s="251">
        <v>-261634.66875000001</v>
      </c>
      <c r="I21" s="9">
        <v>9935.4985195179761</v>
      </c>
      <c r="J21" s="9">
        <v>57025.999999999993</v>
      </c>
      <c r="K21" s="251">
        <v>7617.84</v>
      </c>
      <c r="L21" s="251">
        <v>48871.592549999979</v>
      </c>
      <c r="M21" s="251">
        <v>10948.742622558604</v>
      </c>
      <c r="N21" s="9">
        <f>'9I FY 16-17 Alloc and Realloc'!Z21</f>
        <v>349994.93268472969</v>
      </c>
      <c r="O21" s="7">
        <f t="shared" si="0"/>
        <v>6161823.644749796</v>
      </c>
      <c r="P21" s="9">
        <f>'9I FY 16-17 Alloc and Realloc'!AB21</f>
        <v>-1427.1218405434383</v>
      </c>
      <c r="Q21" s="7">
        <f t="shared" si="1"/>
        <v>6160396.5229092529</v>
      </c>
    </row>
    <row r="22" spans="2:17" x14ac:dyDescent="0.45">
      <c r="B22" s="6" t="s">
        <v>24</v>
      </c>
      <c r="C22" s="9">
        <v>3190913.7233662354</v>
      </c>
      <c r="D22" s="251">
        <v>0</v>
      </c>
      <c r="E22" s="271">
        <v>2122.12</v>
      </c>
      <c r="F22" s="271">
        <v>0</v>
      </c>
      <c r="G22" s="9">
        <v>-198615.12</v>
      </c>
      <c r="H22" s="251">
        <v>-41076.171428571426</v>
      </c>
      <c r="I22" s="9">
        <v>4311.3751030176863</v>
      </c>
      <c r="J22" s="9">
        <v>20328</v>
      </c>
      <c r="K22" s="251">
        <v>1302.52</v>
      </c>
      <c r="L22" s="251">
        <v>35981.325639999974</v>
      </c>
      <c r="M22" s="251">
        <v>1581.7754260232009</v>
      </c>
      <c r="N22" s="9">
        <f>'9I FY 16-17 Alloc and Realloc'!Z22</f>
        <v>95340.280911776877</v>
      </c>
      <c r="O22" s="7">
        <f t="shared" si="0"/>
        <v>3112189.8290184815</v>
      </c>
      <c r="P22" s="9">
        <f>'9I FY 16-17 Alloc and Realloc'!AB22</f>
        <v>-720.80512734144838</v>
      </c>
      <c r="Q22" s="7">
        <f t="shared" si="1"/>
        <v>3111469.0238911402</v>
      </c>
    </row>
    <row r="23" spans="2:17" x14ac:dyDescent="0.45">
      <c r="B23" s="6" t="s">
        <v>11</v>
      </c>
      <c r="C23" s="9">
        <v>2254863.4796321583</v>
      </c>
      <c r="D23" s="251">
        <v>0</v>
      </c>
      <c r="E23" s="271">
        <v>3173.43</v>
      </c>
      <c r="F23" s="271">
        <v>0</v>
      </c>
      <c r="G23" s="9">
        <v>-297009.43</v>
      </c>
      <c r="H23" s="251">
        <v>0</v>
      </c>
      <c r="I23" s="9">
        <v>2384.320570192388</v>
      </c>
      <c r="J23" s="9">
        <v>20156</v>
      </c>
      <c r="K23" s="251">
        <v>430.24</v>
      </c>
      <c r="L23" s="251">
        <v>16782.712079999983</v>
      </c>
      <c r="M23" s="251">
        <v>2759.2391613207692</v>
      </c>
      <c r="N23" s="9">
        <f>'9I FY 16-17 Alloc and Realloc'!Z23</f>
        <v>-24850.718080838706</v>
      </c>
      <c r="O23" s="7">
        <f t="shared" si="0"/>
        <v>1978689.2733628328</v>
      </c>
      <c r="P23" s="9">
        <f>'9I FY 16-17 Alloc and Realloc'!AB23</f>
        <v>-458.27839945909193</v>
      </c>
      <c r="Q23" s="7">
        <f t="shared" si="1"/>
        <v>1978230.9949633738</v>
      </c>
    </row>
    <row r="24" spans="2:17" x14ac:dyDescent="0.45">
      <c r="B24" s="6" t="s">
        <v>54</v>
      </c>
      <c r="C24" s="9">
        <v>521299427.83575821</v>
      </c>
      <c r="D24" s="251">
        <v>-1376517.1594999998</v>
      </c>
      <c r="E24" s="271">
        <v>154380.24</v>
      </c>
      <c r="F24" s="271">
        <v>0</v>
      </c>
      <c r="G24" s="9">
        <v>-14448847.24</v>
      </c>
      <c r="H24" s="251">
        <v>-23187084.606666669</v>
      </c>
      <c r="I24" s="9">
        <v>689064.87851142848</v>
      </c>
      <c r="J24" s="9">
        <v>3144530</v>
      </c>
      <c r="K24" s="251">
        <v>824776.91</v>
      </c>
      <c r="L24" s="251">
        <v>-1336024.7786999987</v>
      </c>
      <c r="M24" s="251">
        <v>5984545.9594028192</v>
      </c>
      <c r="N24" s="9">
        <f>'9I FY 16-17 Alloc and Realloc'!Z24</f>
        <v>6939407.055238232</v>
      </c>
      <c r="O24" s="7">
        <f t="shared" si="0"/>
        <v>498687659.09404403</v>
      </c>
      <c r="P24" s="9">
        <f>'9I FY 16-17 Alloc and Realloc'!AB24</f>
        <v>-115499.58111978542</v>
      </c>
      <c r="Q24" s="7">
        <f t="shared" si="1"/>
        <v>498572159.51292425</v>
      </c>
    </row>
    <row r="25" spans="2:17" x14ac:dyDescent="0.45">
      <c r="B25" s="6" t="s">
        <v>25</v>
      </c>
      <c r="C25" s="9">
        <v>7221662.9871472036</v>
      </c>
      <c r="D25" s="251">
        <v>0</v>
      </c>
      <c r="E25" s="271">
        <v>4119.18</v>
      </c>
      <c r="F25" s="271">
        <v>0</v>
      </c>
      <c r="G25" s="9">
        <v>-385525.18</v>
      </c>
      <c r="H25" s="251">
        <v>0</v>
      </c>
      <c r="I25" s="9">
        <v>9711.3379514131793</v>
      </c>
      <c r="J25" s="9">
        <v>52501.999999999993</v>
      </c>
      <c r="K25" s="251">
        <v>2437.71</v>
      </c>
      <c r="L25" s="251">
        <v>241857.36945999999</v>
      </c>
      <c r="M25" s="251">
        <v>22490.068703941368</v>
      </c>
      <c r="N25" s="9">
        <f>'9I FY 16-17 Alloc and Realloc'!Z25</f>
        <v>219947.34511096613</v>
      </c>
      <c r="O25" s="7">
        <f t="shared" si="0"/>
        <v>7389202.8183735237</v>
      </c>
      <c r="P25" s="9">
        <f>'9I FY 16-17 Alloc and Realloc'!AB25</f>
        <v>-1711.3915188551591</v>
      </c>
      <c r="Q25" s="7">
        <f t="shared" si="1"/>
        <v>7387491.4268546682</v>
      </c>
    </row>
    <row r="26" spans="2:17" x14ac:dyDescent="0.45">
      <c r="B26" s="6" t="s">
        <v>26</v>
      </c>
      <c r="C26" s="9">
        <v>12159404.969299786</v>
      </c>
      <c r="D26" s="251">
        <v>0</v>
      </c>
      <c r="E26" s="271">
        <v>103.95</v>
      </c>
      <c r="F26" s="271">
        <v>0</v>
      </c>
      <c r="G26" s="9">
        <v>-9728.9500000000007</v>
      </c>
      <c r="H26" s="251">
        <v>-62716.514285714293</v>
      </c>
      <c r="I26" s="9">
        <v>17038.422587529891</v>
      </c>
      <c r="J26" s="9">
        <v>114765.99999999999</v>
      </c>
      <c r="K26" s="251">
        <v>15271.21</v>
      </c>
      <c r="L26" s="251">
        <v>221931.93750000003</v>
      </c>
      <c r="M26" s="251">
        <v>177317.10562480011</v>
      </c>
      <c r="N26" s="9">
        <f>'9I FY 16-17 Alloc and Realloc'!Z26</f>
        <v>-519030.18826143554</v>
      </c>
      <c r="O26" s="7">
        <f t="shared" si="0"/>
        <v>12114357.942464968</v>
      </c>
      <c r="P26" s="9">
        <f>'9I FY 16-17 Alloc and Realloc'!AB26</f>
        <v>-2805.7707913441336</v>
      </c>
      <c r="Q26" s="7">
        <f t="shared" si="1"/>
        <v>12111552.171673624</v>
      </c>
    </row>
    <row r="27" spans="2:17" x14ac:dyDescent="0.45">
      <c r="B27" s="6" t="s">
        <v>12</v>
      </c>
      <c r="C27" s="9">
        <v>1147063.4189409493</v>
      </c>
      <c r="D27" s="251">
        <v>0</v>
      </c>
      <c r="E27" s="271">
        <v>0</v>
      </c>
      <c r="F27" s="271">
        <v>0</v>
      </c>
      <c r="G27" s="9">
        <v>0</v>
      </c>
      <c r="H27" s="251">
        <v>0</v>
      </c>
      <c r="I27" s="9">
        <v>1225.1151840974992</v>
      </c>
      <c r="J27" s="9">
        <v>3904</v>
      </c>
      <c r="K27" s="251">
        <v>269.02999999999997</v>
      </c>
      <c r="L27" s="251">
        <v>2134.01156360001</v>
      </c>
      <c r="M27" s="251">
        <v>1760.5897953907224</v>
      </c>
      <c r="N27" s="9">
        <f>'9I FY 16-17 Alloc and Realloc'!Z27</f>
        <v>-25442.301686202278</v>
      </c>
      <c r="O27" s="7">
        <f t="shared" si="0"/>
        <v>1130913.8637978353</v>
      </c>
      <c r="P27" s="9">
        <f>'9I FY 16-17 Alloc and Realloc'!AB27</f>
        <v>-261.92763179362197</v>
      </c>
      <c r="Q27" s="7">
        <f t="shared" si="1"/>
        <v>1130651.9361660418</v>
      </c>
    </row>
    <row r="28" spans="2:17" x14ac:dyDescent="0.45">
      <c r="B28" s="6" t="s">
        <v>27</v>
      </c>
      <c r="C28" s="9">
        <v>5050186.0399341481</v>
      </c>
      <c r="D28" s="251">
        <v>0</v>
      </c>
      <c r="E28" s="271">
        <v>3232.97</v>
      </c>
      <c r="F28" s="271">
        <v>0</v>
      </c>
      <c r="G28" s="9">
        <v>-302581.96999999997</v>
      </c>
      <c r="H28" s="251">
        <v>-18251.880000000005</v>
      </c>
      <c r="I28" s="9">
        <v>6082.8690615776413</v>
      </c>
      <c r="J28" s="9">
        <v>30068</v>
      </c>
      <c r="K28" s="251">
        <v>4871.3099999999995</v>
      </c>
      <c r="L28" s="251">
        <v>188391.9596</v>
      </c>
      <c r="M28" s="251">
        <v>116312.99052178065</v>
      </c>
      <c r="N28" s="9">
        <f>'9I FY 16-17 Alloc and Realloc'!Z28</f>
        <v>137568.44117931672</v>
      </c>
      <c r="O28" s="7">
        <f t="shared" si="0"/>
        <v>5215880.7302968223</v>
      </c>
      <c r="P28" s="9">
        <f>'9I FY 16-17 Alloc and Realloc'!AB28</f>
        <v>-1208.0347859709816</v>
      </c>
      <c r="Q28" s="7">
        <f t="shared" si="1"/>
        <v>5214672.6955108512</v>
      </c>
    </row>
    <row r="29" spans="2:17" x14ac:dyDescent="0.45">
      <c r="B29" s="6" t="s">
        <v>28</v>
      </c>
      <c r="C29" s="9">
        <v>11438095.080870153</v>
      </c>
      <c r="D29" s="251">
        <v>0</v>
      </c>
      <c r="E29" s="271">
        <v>0</v>
      </c>
      <c r="F29" s="271">
        <v>0</v>
      </c>
      <c r="G29" s="9">
        <v>0</v>
      </c>
      <c r="H29" s="251">
        <v>-411756</v>
      </c>
      <c r="I29" s="9">
        <v>16595.2128234103</v>
      </c>
      <c r="J29" s="9">
        <v>55651.999999999993</v>
      </c>
      <c r="K29" s="251">
        <v>12399.77</v>
      </c>
      <c r="L29" s="251">
        <v>154518.913</v>
      </c>
      <c r="M29" s="251">
        <v>153398.41588959948</v>
      </c>
      <c r="N29" s="9">
        <f>'9I FY 16-17 Alloc and Realloc'!Z29</f>
        <v>227209.28006967017</v>
      </c>
      <c r="O29" s="7">
        <f t="shared" si="0"/>
        <v>11646112.672652833</v>
      </c>
      <c r="P29" s="9">
        <f>'9I FY 16-17 Alloc and Realloc'!AB29</f>
        <v>-2697.3218824161031</v>
      </c>
      <c r="Q29" s="7">
        <f t="shared" si="1"/>
        <v>11643415.350770418</v>
      </c>
    </row>
    <row r="30" spans="2:17" x14ac:dyDescent="0.45">
      <c r="B30" s="6" t="s">
        <v>13</v>
      </c>
      <c r="C30" s="9">
        <v>925606.91209147649</v>
      </c>
      <c r="D30" s="251">
        <v>0</v>
      </c>
      <c r="E30" s="271">
        <v>8.52</v>
      </c>
      <c r="F30" s="271">
        <v>0</v>
      </c>
      <c r="G30" s="9">
        <v>-797.52</v>
      </c>
      <c r="H30" s="251">
        <v>0</v>
      </c>
      <c r="I30" s="9">
        <v>661.51915627926007</v>
      </c>
      <c r="J30" s="9">
        <v>6134</v>
      </c>
      <c r="K30" s="251">
        <v>262</v>
      </c>
      <c r="L30" s="251">
        <v>10776.778427999987</v>
      </c>
      <c r="M30" s="251">
        <v>1752.5100035578721</v>
      </c>
      <c r="N30" s="9">
        <f>'9I FY 16-17 Alloc and Realloc'!Z30</f>
        <v>-55865.533980905144</v>
      </c>
      <c r="O30" s="7">
        <f t="shared" si="0"/>
        <v>888539.1856984084</v>
      </c>
      <c r="P30" s="9">
        <f>'9I FY 16-17 Alloc and Realloc'!AB30</f>
        <v>-205.79194589078028</v>
      </c>
      <c r="Q30" s="7">
        <f t="shared" si="1"/>
        <v>888333.39375251764</v>
      </c>
    </row>
    <row r="31" spans="2:17" x14ac:dyDescent="0.45">
      <c r="B31" s="6" t="s">
        <v>14</v>
      </c>
      <c r="C31" s="9">
        <v>1552463.2331544799</v>
      </c>
      <c r="D31" s="251">
        <v>0</v>
      </c>
      <c r="E31" s="271">
        <v>260.88</v>
      </c>
      <c r="F31" s="271">
        <v>0</v>
      </c>
      <c r="G31" s="9">
        <v>-24416.880000000001</v>
      </c>
      <c r="H31" s="251">
        <v>0</v>
      </c>
      <c r="I31" s="9">
        <v>914.46481983825743</v>
      </c>
      <c r="J31" s="9">
        <v>12445.999999999998</v>
      </c>
      <c r="K31" s="251">
        <v>214.69</v>
      </c>
      <c r="L31" s="251">
        <v>11290.741359999996</v>
      </c>
      <c r="M31" s="251">
        <v>5599.2837554241487</v>
      </c>
      <c r="N31" s="9">
        <f>'9I FY 16-17 Alloc and Realloc'!Z31</f>
        <v>33841.326355321216</v>
      </c>
      <c r="O31" s="7">
        <f t="shared" si="0"/>
        <v>1592613.7394450638</v>
      </c>
      <c r="P31" s="9">
        <f>'9I FY 16-17 Alloc and Realloc'!AB31</f>
        <v>107759.93181203655</v>
      </c>
      <c r="Q31" s="7">
        <f t="shared" si="1"/>
        <v>1700373.6712571003</v>
      </c>
    </row>
    <row r="32" spans="2:17" x14ac:dyDescent="0.45">
      <c r="B32" s="6" t="s">
        <v>44</v>
      </c>
      <c r="C32" s="9">
        <v>16380106.649995731</v>
      </c>
      <c r="D32" s="251">
        <v>0</v>
      </c>
      <c r="E32" s="271">
        <v>9396</v>
      </c>
      <c r="F32" s="271">
        <v>0</v>
      </c>
      <c r="G32" s="9">
        <v>-879396</v>
      </c>
      <c r="H32" s="251">
        <v>-358944.18181818182</v>
      </c>
      <c r="I32" s="9">
        <v>28572.704492882614</v>
      </c>
      <c r="J32" s="9">
        <v>183464</v>
      </c>
      <c r="K32" s="251">
        <v>21068.429999999997</v>
      </c>
      <c r="L32" s="251">
        <v>361191.66756439989</v>
      </c>
      <c r="M32" s="251">
        <v>130795.15821071496</v>
      </c>
      <c r="N32" s="9">
        <f>'9I FY 16-17 Alloc and Realloc'!Z32</f>
        <v>564038.84819884785</v>
      </c>
      <c r="O32" s="7">
        <f t="shared" si="0"/>
        <v>16440293.276644394</v>
      </c>
      <c r="P32" s="9">
        <f>'9I FY 16-17 Alloc and Realloc'!AB32</f>
        <v>-3807.687943167572</v>
      </c>
      <c r="Q32" s="7">
        <f t="shared" si="1"/>
        <v>16436485.588701226</v>
      </c>
    </row>
    <row r="33" spans="2:17" x14ac:dyDescent="0.45">
      <c r="B33" s="6" t="s">
        <v>29</v>
      </c>
      <c r="C33" s="9">
        <v>7112088.4367626347</v>
      </c>
      <c r="D33" s="251">
        <v>0</v>
      </c>
      <c r="E33" s="271">
        <v>3191.96</v>
      </c>
      <c r="F33" s="271">
        <v>0</v>
      </c>
      <c r="G33" s="9">
        <v>-298743.96000000002</v>
      </c>
      <c r="H33" s="251">
        <v>-368350.05</v>
      </c>
      <c r="I33" s="9">
        <v>9042.0172272070795</v>
      </c>
      <c r="J33" s="9">
        <v>30549.999999999996</v>
      </c>
      <c r="K33" s="251">
        <v>2327.4</v>
      </c>
      <c r="L33" s="251">
        <v>106421.01385999996</v>
      </c>
      <c r="M33" s="251">
        <v>89879.88229412747</v>
      </c>
      <c r="N33" s="9">
        <f>'9I FY 16-17 Alloc and Realloc'!Z33</f>
        <v>164861.27313423436</v>
      </c>
      <c r="O33" s="7">
        <f t="shared" si="0"/>
        <v>6851267.9732782049</v>
      </c>
      <c r="P33" s="9">
        <f>'9I FY 16-17 Alloc and Realloc'!AB33</f>
        <v>-1586.8020124873483</v>
      </c>
      <c r="Q33" s="7">
        <f t="shared" si="1"/>
        <v>6849681.1712657176</v>
      </c>
    </row>
    <row r="34" spans="2:17" x14ac:dyDescent="0.45">
      <c r="B34" s="6" t="s">
        <v>30</v>
      </c>
      <c r="C34" s="9">
        <v>4853866.2629552539</v>
      </c>
      <c r="D34" s="251">
        <v>0</v>
      </c>
      <c r="E34" s="271">
        <v>4681.05</v>
      </c>
      <c r="F34" s="271">
        <v>0</v>
      </c>
      <c r="G34" s="9">
        <v>-438112.05</v>
      </c>
      <c r="H34" s="251">
        <v>-323525.53999999998</v>
      </c>
      <c r="I34" s="9">
        <v>6729.9284152338796</v>
      </c>
      <c r="J34" s="9">
        <v>49945.999999999993</v>
      </c>
      <c r="K34" s="251">
        <v>4364.9399999999996</v>
      </c>
      <c r="L34" s="251">
        <v>99539.899039999975</v>
      </c>
      <c r="M34" s="251">
        <v>59490.200567586115</v>
      </c>
      <c r="N34" s="9">
        <f>'9I FY 16-17 Alloc and Realloc'!Z34</f>
        <v>-87423.705516972521</v>
      </c>
      <c r="O34" s="7">
        <f t="shared" si="0"/>
        <v>4229556.9854611009</v>
      </c>
      <c r="P34" s="9">
        <f>'9I FY 16-17 Alloc and Realloc'!AB34</f>
        <v>-979.59524611154325</v>
      </c>
      <c r="Q34" s="7">
        <f t="shared" si="1"/>
        <v>4228577.390214989</v>
      </c>
    </row>
    <row r="35" spans="2:17" x14ac:dyDescent="0.45">
      <c r="B35" s="6" t="s">
        <v>55</v>
      </c>
      <c r="C35" s="9">
        <v>139551259.54123589</v>
      </c>
      <c r="D35" s="251">
        <v>0</v>
      </c>
      <c r="E35" s="271">
        <v>29524.78</v>
      </c>
      <c r="F35" s="271">
        <v>0</v>
      </c>
      <c r="G35" s="9">
        <v>-2763300.78</v>
      </c>
      <c r="H35" s="251">
        <v>-4106886.3384615383</v>
      </c>
      <c r="I35" s="9">
        <v>206629.63791443643</v>
      </c>
      <c r="J35" s="9">
        <v>923881.99999999988</v>
      </c>
      <c r="K35" s="251">
        <v>221138.31000000003</v>
      </c>
      <c r="L35" s="251">
        <v>66411.403242708373</v>
      </c>
      <c r="M35" s="251">
        <v>2860992.8265624214</v>
      </c>
      <c r="N35" s="9">
        <f>'9I FY 16-17 Alloc and Realloc'!Z35</f>
        <v>-1851991.4199596122</v>
      </c>
      <c r="O35" s="7">
        <f t="shared" si="0"/>
        <v>135137659.96053433</v>
      </c>
      <c r="P35" s="9">
        <f>'9I FY 16-17 Alloc and Realloc'!AB35</f>
        <v>-31298.835722754957</v>
      </c>
      <c r="Q35" s="7">
        <f t="shared" si="1"/>
        <v>135106361.12481159</v>
      </c>
    </row>
    <row r="36" spans="2:17" x14ac:dyDescent="0.45">
      <c r="B36" s="6" t="s">
        <v>31</v>
      </c>
      <c r="C36" s="9">
        <v>14614476.772949044</v>
      </c>
      <c r="D36" s="251">
        <v>0</v>
      </c>
      <c r="E36" s="271">
        <v>0</v>
      </c>
      <c r="F36" s="271">
        <v>0</v>
      </c>
      <c r="G36" s="9">
        <v>0</v>
      </c>
      <c r="H36" s="251">
        <v>-912315.6</v>
      </c>
      <c r="I36" s="9">
        <v>21286.712598173654</v>
      </c>
      <c r="J36" s="9">
        <v>77378</v>
      </c>
      <c r="K36" s="251">
        <v>21287.89</v>
      </c>
      <c r="L36" s="251">
        <v>253075.33308180014</v>
      </c>
      <c r="M36" s="251">
        <v>140674.7050452212</v>
      </c>
      <c r="N36" s="9">
        <f>'9I FY 16-17 Alloc and Realloc'!Z36</f>
        <v>547583.36479994049</v>
      </c>
      <c r="O36" s="7">
        <f t="shared" si="0"/>
        <v>14763447.17847418</v>
      </c>
      <c r="P36" s="9">
        <f>'9I FY 16-17 Alloc and Realloc'!AB36</f>
        <v>-3419.318553211438</v>
      </c>
      <c r="Q36" s="7">
        <f t="shared" si="1"/>
        <v>14760027.859920969</v>
      </c>
    </row>
    <row r="37" spans="2:17" x14ac:dyDescent="0.45">
      <c r="B37" s="6" t="s">
        <v>15</v>
      </c>
      <c r="C37" s="9">
        <v>1259920.1918289149</v>
      </c>
      <c r="D37" s="251">
        <v>0</v>
      </c>
      <c r="E37" s="271">
        <v>0</v>
      </c>
      <c r="F37" s="271">
        <v>0</v>
      </c>
      <c r="G37" s="9">
        <v>0</v>
      </c>
      <c r="H37" s="251">
        <v>0</v>
      </c>
      <c r="I37" s="9">
        <v>1442.2139881305868</v>
      </c>
      <c r="J37" s="9">
        <v>9206</v>
      </c>
      <c r="K37" s="251">
        <v>352.60999999999996</v>
      </c>
      <c r="L37" s="251">
        <v>12765.861060000005</v>
      </c>
      <c r="M37" s="251">
        <v>2974.4072285960738</v>
      </c>
      <c r="N37" s="9">
        <f>'9I FY 16-17 Alloc and Realloc'!Z37</f>
        <v>-41599.967186388938</v>
      </c>
      <c r="O37" s="7">
        <f t="shared" si="0"/>
        <v>1245061.3169192527</v>
      </c>
      <c r="P37" s="9">
        <f>'9I FY 16-17 Alloc and Realloc'!AB37</f>
        <v>4938.1830807472579</v>
      </c>
      <c r="Q37" s="7">
        <f t="shared" si="1"/>
        <v>1249999.5</v>
      </c>
    </row>
    <row r="38" spans="2:17" x14ac:dyDescent="0.45">
      <c r="B38" s="6" t="s">
        <v>56</v>
      </c>
      <c r="C38" s="9">
        <v>79176843.391484201</v>
      </c>
      <c r="D38" s="251">
        <v>0</v>
      </c>
      <c r="E38" s="271">
        <v>20860.419999999998</v>
      </c>
      <c r="F38" s="271">
        <v>0</v>
      </c>
      <c r="G38" s="9">
        <v>-1952380.42</v>
      </c>
      <c r="H38" s="251">
        <v>-2417141.7806666666</v>
      </c>
      <c r="I38" s="9">
        <v>131371.00584942731</v>
      </c>
      <c r="J38" s="9">
        <v>532226</v>
      </c>
      <c r="K38" s="251">
        <v>49633.170000000013</v>
      </c>
      <c r="L38" s="251">
        <v>1454358.6172490001</v>
      </c>
      <c r="M38" s="251">
        <v>812595.30538826238</v>
      </c>
      <c r="N38" s="9">
        <f>'9I FY 16-17 Alloc and Realloc'!Z38</f>
        <v>2225921.1088009216</v>
      </c>
      <c r="O38" s="7">
        <f t="shared" si="0"/>
        <v>80034286.818105131</v>
      </c>
      <c r="P38" s="9">
        <f>'9I FY 16-17 Alloc and Realloc'!AB38</f>
        <v>-18536.5056346194</v>
      </c>
      <c r="Q38" s="7">
        <f t="shared" si="1"/>
        <v>80015750.312470511</v>
      </c>
    </row>
    <row r="39" spans="2:17" x14ac:dyDescent="0.45">
      <c r="B39" s="6" t="s">
        <v>57</v>
      </c>
      <c r="C39" s="9">
        <v>74820340.46727924</v>
      </c>
      <c r="D39" s="251">
        <v>0</v>
      </c>
      <c r="E39" s="271">
        <v>20135.78</v>
      </c>
      <c r="F39" s="271">
        <v>0</v>
      </c>
      <c r="G39" s="9">
        <v>-1884559.78</v>
      </c>
      <c r="H39" s="251">
        <v>-1983655.9004149374</v>
      </c>
      <c r="I39" s="9">
        <v>93188.854572451892</v>
      </c>
      <c r="J39" s="9">
        <v>340254</v>
      </c>
      <c r="K39" s="251">
        <v>142528.30000000002</v>
      </c>
      <c r="L39" s="251">
        <v>-1032400.3290000001</v>
      </c>
      <c r="M39" s="251">
        <v>1136127.3259614045</v>
      </c>
      <c r="N39" s="9">
        <f>'9I FY 16-17 Alloc and Realloc'!Z39</f>
        <v>-69046.535539777949</v>
      </c>
      <c r="O39" s="7">
        <f t="shared" si="0"/>
        <v>71582912.182858378</v>
      </c>
      <c r="P39" s="9">
        <f>'9I FY 16-17 Alloc and Realloc'!AB39</f>
        <v>-16579.107627155779</v>
      </c>
      <c r="Q39" s="7">
        <f t="shared" si="1"/>
        <v>71566333.075231224</v>
      </c>
    </row>
    <row r="40" spans="2:17" x14ac:dyDescent="0.45">
      <c r="B40" s="6" t="s">
        <v>16</v>
      </c>
      <c r="C40" s="9">
        <v>2422409.9509576159</v>
      </c>
      <c r="D40" s="251">
        <v>0</v>
      </c>
      <c r="E40" s="271">
        <v>0</v>
      </c>
      <c r="F40" s="271">
        <v>0</v>
      </c>
      <c r="G40" s="9">
        <v>0</v>
      </c>
      <c r="H40" s="251">
        <v>0</v>
      </c>
      <c r="I40" s="9">
        <v>3875.6978872412483</v>
      </c>
      <c r="J40" s="9">
        <v>14700</v>
      </c>
      <c r="K40" s="251">
        <v>1061.25</v>
      </c>
      <c r="L40" s="251">
        <v>32176.268379599984</v>
      </c>
      <c r="M40" s="251">
        <v>8329.552859864998</v>
      </c>
      <c r="N40" s="9">
        <f>'9I FY 16-17 Alloc and Realloc'!Z40</f>
        <v>-104676.4436399533</v>
      </c>
      <c r="O40" s="7">
        <f t="shared" si="0"/>
        <v>2377876.276444369</v>
      </c>
      <c r="P40" s="9">
        <f>'9I FY 16-17 Alloc and Realloc'!AB40</f>
        <v>-550.73292646330856</v>
      </c>
      <c r="Q40" s="7">
        <f t="shared" si="1"/>
        <v>2377325.5435179058</v>
      </c>
    </row>
    <row r="41" spans="2:17" x14ac:dyDescent="0.45">
      <c r="B41" s="6" t="s">
        <v>58</v>
      </c>
      <c r="C41" s="9">
        <v>88845147.925512001</v>
      </c>
      <c r="D41" s="251">
        <v>0</v>
      </c>
      <c r="E41" s="271">
        <v>35310.019999999997</v>
      </c>
      <c r="F41" s="271">
        <v>0</v>
      </c>
      <c r="G41" s="9">
        <v>-3304756.02</v>
      </c>
      <c r="H41" s="251">
        <v>-3076340.5222399998</v>
      </c>
      <c r="I41" s="9">
        <v>133960.2520874911</v>
      </c>
      <c r="J41" s="9">
        <v>435474</v>
      </c>
      <c r="K41" s="251">
        <v>138860.69999999998</v>
      </c>
      <c r="L41" s="251">
        <v>2087321.9281359999</v>
      </c>
      <c r="M41" s="251">
        <v>659481.82150343701</v>
      </c>
      <c r="N41" s="9">
        <f>'9I FY 16-17 Alloc and Realloc'!Z41</f>
        <v>2446434.3364520743</v>
      </c>
      <c r="O41" s="7">
        <f t="shared" si="0"/>
        <v>88400894.441451013</v>
      </c>
      <c r="P41" s="9">
        <f>'9I FY 16-17 Alloc and Realloc'!AB41</f>
        <v>-20474.271003920061</v>
      </c>
      <c r="Q41" s="7">
        <f t="shared" si="1"/>
        <v>88380420.170447096</v>
      </c>
    </row>
    <row r="42" spans="2:17" x14ac:dyDescent="0.45">
      <c r="B42" s="6" t="s">
        <v>59</v>
      </c>
      <c r="C42" s="9">
        <v>135183256.70807716</v>
      </c>
      <c r="D42" s="251">
        <v>0</v>
      </c>
      <c r="E42" s="271">
        <v>7097.67</v>
      </c>
      <c r="F42" s="271">
        <v>0</v>
      </c>
      <c r="G42" s="9">
        <v>-664289.67000000004</v>
      </c>
      <c r="H42" s="251">
        <v>-4761891.8549999995</v>
      </c>
      <c r="I42" s="9">
        <v>206258.65990853604</v>
      </c>
      <c r="J42" s="9">
        <v>718422</v>
      </c>
      <c r="K42" s="251">
        <v>208850.87</v>
      </c>
      <c r="L42" s="251">
        <v>1021966.0274127575</v>
      </c>
      <c r="M42" s="251">
        <v>2038142.0712703192</v>
      </c>
      <c r="N42" s="9">
        <f>'9I FY 16-17 Alloc and Realloc'!Z42</f>
        <v>-2953490.2600004412</v>
      </c>
      <c r="O42" s="7">
        <f t="shared" si="0"/>
        <v>131004322.22166833</v>
      </c>
      <c r="P42" s="9">
        <f>'9I FY 16-17 Alloc and Realloc'!AB42</f>
        <v>-30341.525533180778</v>
      </c>
      <c r="Q42" s="7">
        <f t="shared" si="1"/>
        <v>130973980.69613515</v>
      </c>
    </row>
    <row r="43" spans="2:17" x14ac:dyDescent="0.45">
      <c r="B43" s="6" t="s">
        <v>60</v>
      </c>
      <c r="C43" s="9">
        <v>57691925.914758086</v>
      </c>
      <c r="D43" s="251">
        <v>0</v>
      </c>
      <c r="E43" s="271">
        <v>0</v>
      </c>
      <c r="F43" s="271">
        <v>0</v>
      </c>
      <c r="G43" s="9">
        <v>0</v>
      </c>
      <c r="H43" s="251">
        <v>-470235.7333333334</v>
      </c>
      <c r="I43" s="9">
        <v>53715.14027420897</v>
      </c>
      <c r="J43" s="9">
        <v>272528</v>
      </c>
      <c r="K43" s="251">
        <v>68175.63</v>
      </c>
      <c r="L43" s="251">
        <v>-1316245.1215999997</v>
      </c>
      <c r="M43" s="251">
        <v>739779.29482464516</v>
      </c>
      <c r="N43" s="9">
        <f>'9I FY 16-17 Alloc and Realloc'!Z43</f>
        <v>-350192.18955039978</v>
      </c>
      <c r="O43" s="7">
        <f t="shared" si="0"/>
        <v>56689450.935373209</v>
      </c>
      <c r="P43" s="9">
        <f>'9I FY 16-17 Alloc and Realloc'!AB43</f>
        <v>-13129.676898043039</v>
      </c>
      <c r="Q43" s="7">
        <f t="shared" si="1"/>
        <v>56676321.25847517</v>
      </c>
    </row>
    <row r="44" spans="2:17" x14ac:dyDescent="0.45">
      <c r="B44" s="6" t="s">
        <v>45</v>
      </c>
      <c r="C44" s="9">
        <v>30540491.340827152</v>
      </c>
      <c r="D44" s="251">
        <v>0</v>
      </c>
      <c r="E44" s="271">
        <v>3107.67</v>
      </c>
      <c r="F44" s="271">
        <v>0</v>
      </c>
      <c r="G44" s="9">
        <v>-290854.67</v>
      </c>
      <c r="H44" s="251">
        <v>-837310.1</v>
      </c>
      <c r="I44" s="9">
        <v>44944.09302266773</v>
      </c>
      <c r="J44" s="9">
        <v>201697.99999999997</v>
      </c>
      <c r="K44" s="251">
        <v>43035.61</v>
      </c>
      <c r="L44" s="251">
        <v>424616.64680000016</v>
      </c>
      <c r="M44" s="251">
        <v>264990.83871423936</v>
      </c>
      <c r="N44" s="9">
        <f>'9I FY 16-17 Alloc and Realloc'!Z44</f>
        <v>1772836.8999819942</v>
      </c>
      <c r="O44" s="7">
        <f t="shared" si="0"/>
        <v>32167556.32934605</v>
      </c>
      <c r="P44" s="9">
        <f>'9I FY 16-17 Alloc and Realloc'!AB44</f>
        <v>-7450.2330545659652</v>
      </c>
      <c r="Q44" s="7">
        <f t="shared" si="1"/>
        <v>32160106.096291482</v>
      </c>
    </row>
    <row r="45" spans="2:17" x14ac:dyDescent="0.45">
      <c r="B45" s="6" t="s">
        <v>32</v>
      </c>
      <c r="C45" s="9">
        <v>13138219.924436679</v>
      </c>
      <c r="D45" s="251">
        <v>0</v>
      </c>
      <c r="E45" s="271">
        <v>2610.1</v>
      </c>
      <c r="F45" s="271">
        <v>0</v>
      </c>
      <c r="G45" s="9">
        <v>-244286.1</v>
      </c>
      <c r="H45" s="251">
        <v>-646028.1</v>
      </c>
      <c r="I45" s="9">
        <v>17704.313312044022</v>
      </c>
      <c r="J45" s="9">
        <v>130020</v>
      </c>
      <c r="K45" s="251">
        <v>14597.76</v>
      </c>
      <c r="L45" s="251">
        <v>60623.636800000015</v>
      </c>
      <c r="M45" s="251">
        <v>60452.582828855047</v>
      </c>
      <c r="N45" s="9">
        <f>'9I FY 16-17 Alloc and Realloc'!Z45</f>
        <v>-4684.9304799337406</v>
      </c>
      <c r="O45" s="7">
        <f t="shared" si="0"/>
        <v>12529229.186897645</v>
      </c>
      <c r="P45" s="9">
        <f>'9I FY 16-17 Alloc and Realloc'!AB45</f>
        <v>-2901.8578993300598</v>
      </c>
      <c r="Q45" s="7">
        <f t="shared" si="1"/>
        <v>12526327.328998314</v>
      </c>
    </row>
    <row r="46" spans="2:17" x14ac:dyDescent="0.45">
      <c r="B46" s="6" t="s">
        <v>46</v>
      </c>
      <c r="C46" s="9">
        <v>34195506.991096094</v>
      </c>
      <c r="D46" s="251">
        <v>0</v>
      </c>
      <c r="E46" s="271">
        <v>4784.8500000000004</v>
      </c>
      <c r="F46" s="271">
        <v>0</v>
      </c>
      <c r="G46" s="9">
        <v>-447826.85</v>
      </c>
      <c r="H46" s="251">
        <v>-1152415.875</v>
      </c>
      <c r="I46" s="9">
        <v>48699.539156002167</v>
      </c>
      <c r="J46" s="9">
        <v>329518</v>
      </c>
      <c r="K46" s="251">
        <v>12543.6</v>
      </c>
      <c r="L46" s="251">
        <v>54150.388480000111</v>
      </c>
      <c r="M46" s="251">
        <v>298280.08843849192</v>
      </c>
      <c r="N46" s="9">
        <f>'9I FY 16-17 Alloc and Realloc'!Z46</f>
        <v>-174732.04116815655</v>
      </c>
      <c r="O46" s="7">
        <f t="shared" si="0"/>
        <v>33168508.691002432</v>
      </c>
      <c r="P46" s="9">
        <f>'9I FY 16-17 Alloc and Realloc'!AB46</f>
        <v>-7682.060685316239</v>
      </c>
      <c r="Q46" s="7">
        <f t="shared" si="1"/>
        <v>33160826.630317114</v>
      </c>
    </row>
    <row r="47" spans="2:17" x14ac:dyDescent="0.45">
      <c r="B47" s="6" t="s">
        <v>47</v>
      </c>
      <c r="C47" s="9">
        <v>20991084.882459074</v>
      </c>
      <c r="D47" s="251">
        <v>0</v>
      </c>
      <c r="E47" s="271">
        <v>11395.21</v>
      </c>
      <c r="F47" s="271">
        <v>0</v>
      </c>
      <c r="G47" s="9">
        <v>-1066507.21</v>
      </c>
      <c r="H47" s="251">
        <v>-528988.02</v>
      </c>
      <c r="I47" s="9">
        <v>28356.345492704659</v>
      </c>
      <c r="J47" s="9">
        <v>162858</v>
      </c>
      <c r="K47" s="251">
        <v>22871.399999999998</v>
      </c>
      <c r="L47" s="251">
        <v>50020.020899999792</v>
      </c>
      <c r="M47" s="251">
        <v>60324.256960656785</v>
      </c>
      <c r="N47" s="9">
        <f>'9I FY 16-17 Alloc and Realloc'!Z47</f>
        <v>427935.55556113622</v>
      </c>
      <c r="O47" s="7">
        <f t="shared" si="0"/>
        <v>20159350.441373572</v>
      </c>
      <c r="P47" s="9">
        <f>'9I FY 16-17 Alloc and Realloc'!AB47</f>
        <v>-4669.0478281647484</v>
      </c>
      <c r="Q47" s="7">
        <f t="shared" si="1"/>
        <v>20154681.393545408</v>
      </c>
    </row>
    <row r="48" spans="2:17" x14ac:dyDescent="0.45">
      <c r="B48" s="6" t="s">
        <v>61</v>
      </c>
      <c r="C48" s="9">
        <v>74878763.481839836</v>
      </c>
      <c r="D48" s="251">
        <v>0</v>
      </c>
      <c r="E48" s="271">
        <v>0</v>
      </c>
      <c r="F48" s="271">
        <v>0</v>
      </c>
      <c r="G48" s="9">
        <v>0</v>
      </c>
      <c r="H48" s="251">
        <v>-1987444.9285714284</v>
      </c>
      <c r="I48" s="9">
        <v>119260.28223113544</v>
      </c>
      <c r="J48" s="9">
        <v>452781.99999999994</v>
      </c>
      <c r="K48" s="251">
        <v>89399.84</v>
      </c>
      <c r="L48" s="251">
        <v>606489.57788000058</v>
      </c>
      <c r="M48" s="251">
        <v>408200.56291168695</v>
      </c>
      <c r="N48" s="9">
        <f>'9I FY 16-17 Alloc and Realloc'!Z48</f>
        <v>-165418.39017414115</v>
      </c>
      <c r="O48" s="7">
        <f t="shared" si="0"/>
        <v>74402032.426117092</v>
      </c>
      <c r="P48" s="9">
        <f>'9I FY 16-17 Alloc and Realloc'!AB48</f>
        <v>-17232.035770222748</v>
      </c>
      <c r="Q48" s="7">
        <f t="shared" si="1"/>
        <v>74384800.39034687</v>
      </c>
    </row>
    <row r="49" spans="2:17" x14ac:dyDescent="0.45">
      <c r="B49" s="6" t="s">
        <v>33</v>
      </c>
      <c r="C49" s="9">
        <v>11177031.518879188</v>
      </c>
      <c r="D49" s="251">
        <v>0</v>
      </c>
      <c r="E49" s="271">
        <v>0</v>
      </c>
      <c r="F49" s="271">
        <v>0</v>
      </c>
      <c r="G49" s="9">
        <v>0</v>
      </c>
      <c r="H49" s="251">
        <v>-515612.53333333338</v>
      </c>
      <c r="I49" s="9">
        <v>17644.389199778383</v>
      </c>
      <c r="J49" s="9">
        <v>113210</v>
      </c>
      <c r="K49" s="251">
        <v>11584.33</v>
      </c>
      <c r="L49" s="251">
        <v>238885.37156839998</v>
      </c>
      <c r="M49" s="251">
        <v>76312.241575133943</v>
      </c>
      <c r="N49" s="9">
        <f>'9I FY 16-17 Alloc and Realloc'!Z49</f>
        <v>166897.18883688888</v>
      </c>
      <c r="O49" s="7">
        <f t="shared" si="0"/>
        <v>11285952.506726056</v>
      </c>
      <c r="P49" s="9">
        <f>'9I FY 16-17 Alloc and Realloc'!AB49</f>
        <v>-2613.9062463120413</v>
      </c>
      <c r="Q49" s="7">
        <f t="shared" si="1"/>
        <v>11283338.600479744</v>
      </c>
    </row>
    <row r="50" spans="2:17" x14ac:dyDescent="0.45">
      <c r="B50" s="6" t="s">
        <v>34</v>
      </c>
      <c r="C50" s="9">
        <v>11770942.73567149</v>
      </c>
      <c r="D50" s="251">
        <v>0</v>
      </c>
      <c r="E50" s="271">
        <v>0</v>
      </c>
      <c r="F50" s="271">
        <v>272634.69139267923</v>
      </c>
      <c r="G50" s="9">
        <v>-2662302.6913926792</v>
      </c>
      <c r="H50" s="251">
        <v>-291575.89999999997</v>
      </c>
      <c r="I50" s="9">
        <v>12205.620276436453</v>
      </c>
      <c r="J50" s="9">
        <v>44394</v>
      </c>
      <c r="K50" s="251">
        <v>3502.34</v>
      </c>
      <c r="L50" s="251">
        <v>235389.12144999998</v>
      </c>
      <c r="M50" s="251">
        <v>90992.564781162015</v>
      </c>
      <c r="N50" s="9">
        <f>'9I FY 16-17 Alloc and Realloc'!Z50</f>
        <v>348727.16776636965</v>
      </c>
      <c r="O50" s="7">
        <f t="shared" si="0"/>
        <v>9824909.6499454584</v>
      </c>
      <c r="P50" s="9">
        <f>'9I FY 16-17 Alloc and Realloc'!AB50</f>
        <v>-2275.5184100002743</v>
      </c>
      <c r="Q50" s="7">
        <f t="shared" si="1"/>
        <v>9822634.1315354574</v>
      </c>
    </row>
    <row r="51" spans="2:17" x14ac:dyDescent="0.45">
      <c r="B51" s="6" t="s">
        <v>17</v>
      </c>
      <c r="C51" s="9">
        <v>744798.06588248664</v>
      </c>
      <c r="D51" s="251">
        <v>0</v>
      </c>
      <c r="E51" s="271">
        <v>0</v>
      </c>
      <c r="F51" s="271">
        <v>0</v>
      </c>
      <c r="G51" s="9">
        <v>0</v>
      </c>
      <c r="H51" s="251">
        <v>0</v>
      </c>
      <c r="I51" s="9">
        <v>235.45939061952922</v>
      </c>
      <c r="J51" s="9">
        <v>1830</v>
      </c>
      <c r="K51" s="251">
        <v>43</v>
      </c>
      <c r="L51" s="251">
        <v>9323.0892399999957</v>
      </c>
      <c r="M51" s="251">
        <v>4421.5744453850639</v>
      </c>
      <c r="N51" s="9">
        <f>'9I FY 16-17 Alloc and Realloc'!Z51</f>
        <v>-39021.295022341612</v>
      </c>
      <c r="O51" s="7">
        <f t="shared" si="0"/>
        <v>721629.89393614954</v>
      </c>
      <c r="P51" s="9">
        <f>'9I FY 16-17 Alloc and Realloc'!AB51</f>
        <v>28370.106063850457</v>
      </c>
      <c r="Q51" s="7">
        <f t="shared" si="1"/>
        <v>750000</v>
      </c>
    </row>
    <row r="52" spans="2:17" x14ac:dyDescent="0.45">
      <c r="B52" s="6" t="s">
        <v>35</v>
      </c>
      <c r="C52" s="9">
        <v>3015298.1897968096</v>
      </c>
      <c r="D52" s="251">
        <v>0</v>
      </c>
      <c r="E52" s="271">
        <v>0</v>
      </c>
      <c r="F52" s="271">
        <v>0</v>
      </c>
      <c r="G52" s="9">
        <v>0</v>
      </c>
      <c r="H52" s="251">
        <v>-158971.60999999999</v>
      </c>
      <c r="I52" s="9">
        <v>3103.5444271718929</v>
      </c>
      <c r="J52" s="9">
        <v>37000</v>
      </c>
      <c r="K52" s="251">
        <v>835.2</v>
      </c>
      <c r="L52" s="251">
        <v>137750.24927999999</v>
      </c>
      <c r="M52" s="251">
        <v>29388.04996610697</v>
      </c>
      <c r="N52" s="9">
        <f>'9I FY 16-17 Alloc and Realloc'!Z52</f>
        <v>-162978.05384284692</v>
      </c>
      <c r="O52" s="7">
        <f t="shared" si="0"/>
        <v>2901425.5696272422</v>
      </c>
      <c r="P52" s="9">
        <f>'9I FY 16-17 Alloc and Realloc'!AB52</f>
        <v>-671.99063748835329</v>
      </c>
      <c r="Q52" s="7">
        <f t="shared" si="1"/>
        <v>2900753.578989754</v>
      </c>
    </row>
    <row r="53" spans="2:17" x14ac:dyDescent="0.45">
      <c r="B53" s="6" t="s">
        <v>48</v>
      </c>
      <c r="C53" s="9">
        <v>19418119.235893816</v>
      </c>
      <c r="D53" s="251">
        <v>0</v>
      </c>
      <c r="E53" s="271">
        <v>4702.32</v>
      </c>
      <c r="F53" s="271">
        <v>0</v>
      </c>
      <c r="G53" s="9">
        <v>-440102.32</v>
      </c>
      <c r="H53" s="251">
        <v>-616330.4</v>
      </c>
      <c r="I53" s="9">
        <v>28438.598230416083</v>
      </c>
      <c r="J53" s="9">
        <v>119364</v>
      </c>
      <c r="K53" s="251">
        <v>28654.02</v>
      </c>
      <c r="L53" s="251">
        <v>597864.59068133018</v>
      </c>
      <c r="M53" s="251">
        <v>245863.80416463997</v>
      </c>
      <c r="N53" s="9">
        <f>'9I FY 16-17 Alloc and Realloc'!Z53</f>
        <v>-10464.646282629576</v>
      </c>
      <c r="O53" s="7">
        <f t="shared" si="0"/>
        <v>19376109.202687576</v>
      </c>
      <c r="P53" s="9">
        <f>'9I FY 16-17 Alloc and Realloc'!AB53</f>
        <v>-4487.643629897002</v>
      </c>
      <c r="Q53" s="7">
        <f t="shared" si="1"/>
        <v>19371621.559057679</v>
      </c>
    </row>
    <row r="54" spans="2:17" x14ac:dyDescent="0.45">
      <c r="B54" s="6" t="s">
        <v>49</v>
      </c>
      <c r="C54" s="9">
        <v>23118450.620113924</v>
      </c>
      <c r="D54" s="251">
        <v>0</v>
      </c>
      <c r="E54" s="271">
        <v>4752</v>
      </c>
      <c r="F54" s="271">
        <v>0</v>
      </c>
      <c r="G54" s="9">
        <v>-444752</v>
      </c>
      <c r="H54" s="251">
        <v>-548764.5</v>
      </c>
      <c r="I54" s="9">
        <v>32277.574944484448</v>
      </c>
      <c r="J54" s="9">
        <v>119004</v>
      </c>
      <c r="K54" s="251">
        <v>29116.46</v>
      </c>
      <c r="L54" s="251">
        <v>63956.247500000027</v>
      </c>
      <c r="M54" s="251">
        <v>305072.71259087126</v>
      </c>
      <c r="N54" s="9">
        <f>'9I FY 16-17 Alloc and Realloc'!Z54</f>
        <v>-409144.65124320565</v>
      </c>
      <c r="O54" s="7">
        <f t="shared" si="0"/>
        <v>22269968.463906072</v>
      </c>
      <c r="P54" s="9">
        <f>'9I FY 16-17 Alloc and Realloc'!AB54</f>
        <v>-5157.8818569619225</v>
      </c>
      <c r="Q54" s="7">
        <f t="shared" si="1"/>
        <v>22264810.582049109</v>
      </c>
    </row>
    <row r="55" spans="2:17" x14ac:dyDescent="0.45">
      <c r="B55" s="6" t="s">
        <v>50</v>
      </c>
      <c r="C55" s="9">
        <v>19725271.770097602</v>
      </c>
      <c r="D55" s="251">
        <v>0</v>
      </c>
      <c r="E55" s="271">
        <v>100.72</v>
      </c>
      <c r="F55" s="271">
        <v>0</v>
      </c>
      <c r="G55" s="9">
        <v>-9426.7199999999993</v>
      </c>
      <c r="H55" s="251">
        <v>-468860.62499999994</v>
      </c>
      <c r="I55" s="9">
        <v>34593.90081490067</v>
      </c>
      <c r="J55" s="9">
        <v>88718</v>
      </c>
      <c r="K55" s="251">
        <v>31186.749999999996</v>
      </c>
      <c r="L55" s="251">
        <v>95213.38209999993</v>
      </c>
      <c r="M55" s="251">
        <v>404981.55301048781</v>
      </c>
      <c r="N55" s="9">
        <f>'9I FY 16-17 Alloc and Realloc'!Z55</f>
        <v>752566.07535070134</v>
      </c>
      <c r="O55" s="7">
        <f t="shared" si="0"/>
        <v>20654344.806373693</v>
      </c>
      <c r="P55" s="9">
        <f>'9I FY 16-17 Alloc and Realloc'!AB55</f>
        <v>-4783.692016308547</v>
      </c>
      <c r="Q55" s="7">
        <f t="shared" si="1"/>
        <v>20649561.114357386</v>
      </c>
    </row>
    <row r="56" spans="2:17" x14ac:dyDescent="0.45">
      <c r="B56" s="6" t="s">
        <v>36</v>
      </c>
      <c r="C56" s="9">
        <v>4502071.5270536719</v>
      </c>
      <c r="D56" s="251">
        <v>0</v>
      </c>
      <c r="E56" s="271">
        <v>2668.37</v>
      </c>
      <c r="F56" s="271">
        <v>0</v>
      </c>
      <c r="G56" s="9">
        <v>-249739.37</v>
      </c>
      <c r="H56" s="251">
        <v>0</v>
      </c>
      <c r="I56" s="9">
        <v>6150.4602319782771</v>
      </c>
      <c r="J56" s="9">
        <v>37382</v>
      </c>
      <c r="K56" s="251">
        <v>1798.8</v>
      </c>
      <c r="L56" s="251">
        <v>34036.27840000001</v>
      </c>
      <c r="M56" s="251">
        <v>35710.137221172336</v>
      </c>
      <c r="N56" s="9">
        <f>'9I FY 16-17 Alloc and Realloc'!Z56</f>
        <v>276084.37401175639</v>
      </c>
      <c r="O56" s="7">
        <f t="shared" si="0"/>
        <v>4646162.5769185796</v>
      </c>
      <c r="P56" s="9">
        <f>'9I FY 16-17 Alloc and Realloc'!AB56</f>
        <v>-1076.084022684533</v>
      </c>
      <c r="Q56" s="7">
        <f t="shared" si="1"/>
        <v>4645086.4928958947</v>
      </c>
    </row>
    <row r="57" spans="2:17" x14ac:dyDescent="0.45">
      <c r="B57" s="6" t="s">
        <v>37</v>
      </c>
      <c r="C57" s="9">
        <v>3468895.3232834511</v>
      </c>
      <c r="D57" s="251">
        <v>0</v>
      </c>
      <c r="E57" s="271">
        <v>0</v>
      </c>
      <c r="F57" s="271">
        <v>0</v>
      </c>
      <c r="G57" s="9">
        <v>0</v>
      </c>
      <c r="H57" s="251">
        <v>-5934.0570000000052</v>
      </c>
      <c r="I57" s="9">
        <v>4138.395510708795</v>
      </c>
      <c r="J57" s="9">
        <v>28100</v>
      </c>
      <c r="K57" s="251">
        <v>1237.1000000000001</v>
      </c>
      <c r="L57" s="251">
        <v>54681.591500000024</v>
      </c>
      <c r="M57" s="251">
        <v>12296.474840176359</v>
      </c>
      <c r="N57" s="9">
        <f>'9I FY 16-17 Alloc and Realloc'!Z57</f>
        <v>174873.33251793345</v>
      </c>
      <c r="O57" s="7">
        <f t="shared" si="0"/>
        <v>3738288.1606522701</v>
      </c>
      <c r="P57" s="9">
        <f>'9I FY 16-17 Alloc and Realloc'!AB57</f>
        <v>-865.81391936744444</v>
      </c>
      <c r="Q57" s="7">
        <f t="shared" si="1"/>
        <v>3737422.3467329028</v>
      </c>
    </row>
    <row r="58" spans="2:17" x14ac:dyDescent="0.45">
      <c r="B58" s="6" t="s">
        <v>18</v>
      </c>
      <c r="C58" s="9">
        <v>1684534.3068648714</v>
      </c>
      <c r="D58" s="251">
        <v>0</v>
      </c>
      <c r="E58" s="271">
        <v>0</v>
      </c>
      <c r="F58" s="271">
        <v>69871.44</v>
      </c>
      <c r="G58" s="9">
        <v>-520479.44</v>
      </c>
      <c r="H58" s="251">
        <v>0</v>
      </c>
      <c r="I58" s="9">
        <v>943.18266039653759</v>
      </c>
      <c r="J58" s="9">
        <v>7647.9999999999991</v>
      </c>
      <c r="K58" s="251">
        <v>666</v>
      </c>
      <c r="L58" s="251">
        <v>10086.432070000012</v>
      </c>
      <c r="M58" s="251">
        <v>9879.6733552668684</v>
      </c>
      <c r="N58" s="9">
        <f>'9I FY 16-17 Alloc and Realloc'!Z58</f>
        <v>65684.876346716424</v>
      </c>
      <c r="O58" s="7">
        <f t="shared" si="0"/>
        <v>1328834.4712972513</v>
      </c>
      <c r="P58" s="9">
        <f>'9I FY 16-17 Alloc and Realloc'!AB58</f>
        <v>-307.76744123002322</v>
      </c>
      <c r="Q58" s="7">
        <f t="shared" si="1"/>
        <v>1328526.7038560212</v>
      </c>
    </row>
    <row r="59" spans="2:17" x14ac:dyDescent="0.45">
      <c r="B59" s="6" t="s">
        <v>51</v>
      </c>
      <c r="C59" s="9">
        <v>15826494.026270164</v>
      </c>
      <c r="D59" s="251">
        <v>-199883.62532451772</v>
      </c>
      <c r="E59" s="271">
        <v>168.22</v>
      </c>
      <c r="F59" s="271">
        <v>0</v>
      </c>
      <c r="G59" s="9">
        <v>-15744.22</v>
      </c>
      <c r="H59" s="251">
        <v>-442427</v>
      </c>
      <c r="I59" s="9">
        <v>28288.687067408104</v>
      </c>
      <c r="J59" s="9">
        <v>204931.99999999997</v>
      </c>
      <c r="K59" s="251">
        <v>23739.439999999999</v>
      </c>
      <c r="L59" s="251">
        <v>410850.45239999995</v>
      </c>
      <c r="M59" s="251">
        <v>51103.797011122748</v>
      </c>
      <c r="N59" s="9">
        <f>'9I FY 16-17 Alloc and Realloc'!Z59</f>
        <v>1112551.4639240918</v>
      </c>
      <c r="O59" s="7">
        <f t="shared" si="0"/>
        <v>17000073.24134827</v>
      </c>
      <c r="P59" s="9">
        <f>'9I FY 16-17 Alloc and Realloc'!AB59</f>
        <v>-3937.3369333992578</v>
      </c>
      <c r="Q59" s="7">
        <f t="shared" si="1"/>
        <v>16996135.90441487</v>
      </c>
    </row>
    <row r="60" spans="2:17" x14ac:dyDescent="0.45">
      <c r="B60" s="6" t="s">
        <v>38</v>
      </c>
      <c r="C60" s="9">
        <v>2980840.9499552581</v>
      </c>
      <c r="D60" s="251">
        <v>0</v>
      </c>
      <c r="E60" s="271">
        <v>2381.5700000000002</v>
      </c>
      <c r="F60" s="271">
        <v>0</v>
      </c>
      <c r="G60" s="9">
        <v>-222897.57</v>
      </c>
      <c r="H60" s="251">
        <v>-88005.36</v>
      </c>
      <c r="I60" s="9">
        <v>3916.3198443775514</v>
      </c>
      <c r="J60" s="9">
        <v>16642</v>
      </c>
      <c r="K60" s="251">
        <v>937.99999999999989</v>
      </c>
      <c r="L60" s="251">
        <v>91053.041049999971</v>
      </c>
      <c r="M60" s="251">
        <v>9518.8813339219705</v>
      </c>
      <c r="N60" s="9">
        <f>'9I FY 16-17 Alloc and Realloc'!Z60</f>
        <v>72657.739626804454</v>
      </c>
      <c r="O60" s="7">
        <f t="shared" si="0"/>
        <v>2867045.5718103624</v>
      </c>
      <c r="P60" s="9">
        <f>'9I FY 16-17 Alloc and Realloc'!AB60</f>
        <v>-664.02798737192052</v>
      </c>
      <c r="Q60" s="7">
        <f t="shared" si="1"/>
        <v>2866381.5438229903</v>
      </c>
    </row>
    <row r="61" spans="2:17" x14ac:dyDescent="0.45">
      <c r="B61" s="6" t="s">
        <v>52</v>
      </c>
      <c r="C61" s="9">
        <v>32147569.782151032</v>
      </c>
      <c r="D61" s="251">
        <v>0</v>
      </c>
      <c r="E61" s="271">
        <v>16838.900000000001</v>
      </c>
      <c r="F61" s="271">
        <v>0</v>
      </c>
      <c r="G61" s="9">
        <v>-1575995.9</v>
      </c>
      <c r="H61" s="251">
        <v>-627466.5</v>
      </c>
      <c r="I61" s="9">
        <v>54970.520161470937</v>
      </c>
      <c r="J61" s="9">
        <v>205303.99999999997</v>
      </c>
      <c r="K61" s="251">
        <v>49257.660000000011</v>
      </c>
      <c r="L61" s="251">
        <v>450231.62135959975</v>
      </c>
      <c r="M61" s="251">
        <v>268090.26461962162</v>
      </c>
      <c r="N61" s="9">
        <f>'9I FY 16-17 Alloc and Realloc'!Z61</f>
        <v>1092944.2920948295</v>
      </c>
      <c r="O61" s="7">
        <f t="shared" si="0"/>
        <v>32081744.640386559</v>
      </c>
      <c r="P61" s="9">
        <f>'9I FY 16-17 Alloc and Realloc'!AB61</f>
        <v>-7430.358461823871</v>
      </c>
      <c r="Q61" s="7">
        <f t="shared" si="1"/>
        <v>32074314.281924736</v>
      </c>
    </row>
    <row r="62" spans="2:17" x14ac:dyDescent="0.45">
      <c r="B62" s="6" t="s">
        <v>39</v>
      </c>
      <c r="C62" s="9">
        <v>8777156.1011525039</v>
      </c>
      <c r="D62" s="251">
        <v>-199883.62532451772</v>
      </c>
      <c r="E62" s="271">
        <v>6295.2</v>
      </c>
      <c r="F62" s="271">
        <v>0</v>
      </c>
      <c r="G62" s="9">
        <v>-589184.19999999995</v>
      </c>
      <c r="H62" s="251">
        <v>-282563.05</v>
      </c>
      <c r="I62" s="9">
        <v>12801.56590919271</v>
      </c>
      <c r="J62" s="9">
        <v>48556</v>
      </c>
      <c r="K62" s="251">
        <v>8551.18</v>
      </c>
      <c r="L62" s="251">
        <v>123355.73513999995</v>
      </c>
      <c r="M62" s="251">
        <v>83319.307534330117</v>
      </c>
      <c r="N62" s="9">
        <f>'9I FY 16-17 Alloc and Realloc'!Z62</f>
        <v>405132.50020065531</v>
      </c>
      <c r="O62" s="7">
        <f t="shared" si="0"/>
        <v>8393536.7146121636</v>
      </c>
      <c r="P62" s="9">
        <f>'9I FY 16-17 Alloc and Realloc'!AB62</f>
        <v>-1944.0023368784084</v>
      </c>
      <c r="Q62" s="7">
        <f t="shared" si="1"/>
        <v>8391592.7122752853</v>
      </c>
    </row>
    <row r="63" spans="2:17" x14ac:dyDescent="0.45">
      <c r="B63" s="6" t="s">
        <v>40</v>
      </c>
      <c r="C63" s="9">
        <v>3688250.0925073721</v>
      </c>
      <c r="D63" s="251">
        <v>0</v>
      </c>
      <c r="E63" s="271">
        <v>1431.75</v>
      </c>
      <c r="F63" s="271">
        <v>0</v>
      </c>
      <c r="G63" s="9">
        <v>-134000.75</v>
      </c>
      <c r="H63" s="251">
        <v>0</v>
      </c>
      <c r="I63" s="9">
        <v>4696.2076174778258</v>
      </c>
      <c r="J63" s="9">
        <v>15787.999999999998</v>
      </c>
      <c r="K63" s="251">
        <v>1453.66</v>
      </c>
      <c r="L63" s="251">
        <v>122049.72031999999</v>
      </c>
      <c r="M63" s="251">
        <v>32747.272897389717</v>
      </c>
      <c r="N63" s="9">
        <f>'9I FY 16-17 Alloc and Realloc'!Z63</f>
        <v>586977.04277461593</v>
      </c>
      <c r="O63" s="7">
        <f t="shared" si="0"/>
        <v>4319392.9961168561</v>
      </c>
      <c r="P63" s="9">
        <f>'9I FY 16-17 Alloc and Realloc'!AB63</f>
        <v>-1000.4019001584114</v>
      </c>
      <c r="Q63" s="7">
        <f t="shared" si="1"/>
        <v>4318392.5942166978</v>
      </c>
    </row>
    <row r="64" spans="2:17" x14ac:dyDescent="0.45">
      <c r="B64" s="8" t="s">
        <v>0</v>
      </c>
      <c r="C64" s="7">
        <f t="shared" ref="C64:Q64" si="2">SUM(C6:C63)</f>
        <v>1774710700.4071853</v>
      </c>
      <c r="D64" s="7">
        <f t="shared" si="2"/>
        <v>-1776284.4101490353</v>
      </c>
      <c r="E64" s="272">
        <f t="shared" ref="E64:F64" si="3">SUM(E6:E63)</f>
        <v>411942.35999999987</v>
      </c>
      <c r="F64" s="272">
        <f t="shared" si="3"/>
        <v>342506.13139267924</v>
      </c>
      <c r="G64" s="7">
        <f t="shared" si="2"/>
        <v>-41737537.49139268</v>
      </c>
      <c r="H64" s="7">
        <f t="shared" si="2"/>
        <v>-58828646.750468522</v>
      </c>
      <c r="I64" s="7">
        <f t="shared" si="2"/>
        <v>2500000.0000000009</v>
      </c>
      <c r="J64" s="7">
        <f t="shared" si="2"/>
        <v>10907494</v>
      </c>
      <c r="K64" s="7">
        <f t="shared" si="2"/>
        <v>2428420.31</v>
      </c>
      <c r="L64" s="7">
        <f t="shared" ref="L64:M64" si="4">SUM(L6:L63)</f>
        <v>8452388.1009941567</v>
      </c>
      <c r="M64" s="7">
        <f t="shared" si="4"/>
        <v>20292088.079545446</v>
      </c>
      <c r="N64" s="7">
        <f t="shared" si="2"/>
        <v>19588058.000000041</v>
      </c>
      <c r="O64" s="7">
        <f t="shared" si="2"/>
        <v>1737291128.7371073</v>
      </c>
      <c r="P64" s="7">
        <f t="shared" si="2"/>
        <v>-3.3764990803319961E-11</v>
      </c>
      <c r="Q64" s="7">
        <f t="shared" si="2"/>
        <v>1737291128.7371078</v>
      </c>
    </row>
    <row r="65" spans="2:17" ht="5.25" customHeight="1" x14ac:dyDescent="0.45">
      <c r="N65" s="128"/>
      <c r="O65" s="131"/>
      <c r="P65" s="128"/>
      <c r="Q65" s="131"/>
    </row>
    <row r="66" spans="2:17" x14ac:dyDescent="0.45">
      <c r="B66" s="15" t="s">
        <v>77</v>
      </c>
      <c r="O66" s="131"/>
      <c r="Q66" s="131"/>
    </row>
    <row r="67" spans="2:17" x14ac:dyDescent="0.45">
      <c r="O67" s="47"/>
      <c r="Q67" s="47"/>
    </row>
  </sheetData>
  <printOptions horizontalCentered="1"/>
  <pageMargins left="0.2" right="0.2" top="0.5" bottom="0.75" header="0.3" footer="0.3"/>
  <pageSetup scale="58" fitToHeight="2" orientation="landscape" r:id="rId1"/>
  <headerFooter>
    <oddHeader>&amp;R&amp;"-,Bold"&amp;14 9J</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tint="-0.249977111117893"/>
    <pageSetUpPr fitToPage="1"/>
  </sheetPr>
  <dimension ref="A1:L74"/>
  <sheetViews>
    <sheetView zoomScaleNormal="100" workbookViewId="0">
      <pane xSplit="2" ySplit="5" topLeftCell="C51" activePane="bottomRight" state="frozen"/>
      <selection activeCell="DX70" sqref="DX70"/>
      <selection pane="topRight" activeCell="DX70" sqref="DX70"/>
      <selection pane="bottomLeft" activeCell="DX70" sqref="DX70"/>
      <selection pane="bottomRight" activeCell="DX70" sqref="DX70"/>
    </sheetView>
  </sheetViews>
  <sheetFormatPr defaultRowHeight="14.25" x14ac:dyDescent="0.45"/>
  <cols>
    <col min="1" max="1" width="8.3984375" customWidth="1"/>
    <col min="2" max="2" width="15.3984375" style="1" bestFit="1" customWidth="1"/>
    <col min="3" max="3" width="14.3984375" style="1" bestFit="1" customWidth="1"/>
    <col min="4" max="4" width="8.3984375" style="127" bestFit="1" customWidth="1"/>
    <col min="5" max="5" width="14.86328125" style="23" bestFit="1" customWidth="1"/>
    <col min="6" max="6" width="12" style="23" bestFit="1" customWidth="1"/>
    <col min="7" max="7" width="6.3984375" style="23" bestFit="1" customWidth="1"/>
    <col min="8" max="8" width="12.3984375" bestFit="1" customWidth="1"/>
    <col min="9" max="9" width="10.3984375" bestFit="1" customWidth="1"/>
    <col min="10" max="10" width="15" style="23" bestFit="1" customWidth="1"/>
    <col min="11" max="11" width="10.3984375" bestFit="1" customWidth="1"/>
    <col min="12" max="12" width="12" bestFit="1" customWidth="1"/>
  </cols>
  <sheetData>
    <row r="1" spans="1:12" ht="15.75" x14ac:dyDescent="0.5">
      <c r="A1" s="141" t="s">
        <v>149</v>
      </c>
    </row>
    <row r="3" spans="1:12" ht="41.25" customHeight="1" x14ac:dyDescent="0.45">
      <c r="A3" s="460" t="s">
        <v>72</v>
      </c>
      <c r="B3" s="460" t="s">
        <v>63</v>
      </c>
      <c r="C3" s="461"/>
      <c r="D3" s="462"/>
      <c r="E3" s="458" t="s">
        <v>135</v>
      </c>
      <c r="F3" s="464" t="s">
        <v>155</v>
      </c>
      <c r="G3" s="420"/>
      <c r="H3" s="420"/>
      <c r="I3" s="420"/>
      <c r="J3" s="458" t="s">
        <v>154</v>
      </c>
    </row>
    <row r="4" spans="1:12" ht="126.75" customHeight="1" x14ac:dyDescent="0.45">
      <c r="A4" s="460"/>
      <c r="B4" s="460"/>
      <c r="C4" s="100" t="s">
        <v>120</v>
      </c>
      <c r="D4" s="102" t="s">
        <v>156</v>
      </c>
      <c r="E4" s="463"/>
      <c r="F4" s="100" t="s">
        <v>128</v>
      </c>
      <c r="G4" s="164" t="s">
        <v>165</v>
      </c>
      <c r="H4" s="164" t="s">
        <v>164</v>
      </c>
      <c r="I4" s="164" t="s">
        <v>153</v>
      </c>
      <c r="J4" s="459"/>
      <c r="K4" s="101" t="s">
        <v>136</v>
      </c>
      <c r="L4" s="101" t="s">
        <v>137</v>
      </c>
    </row>
    <row r="5" spans="1:12" s="166" customFormat="1" ht="36.75" customHeight="1" x14ac:dyDescent="0.45">
      <c r="A5" s="30" t="s">
        <v>68</v>
      </c>
      <c r="B5" s="30" t="s">
        <v>133</v>
      </c>
      <c r="C5" s="103" t="s">
        <v>69</v>
      </c>
      <c r="D5" s="125" t="s">
        <v>2</v>
      </c>
      <c r="E5" s="31" t="s">
        <v>3</v>
      </c>
      <c r="F5" s="104" t="s">
        <v>142</v>
      </c>
      <c r="G5" s="104" t="s">
        <v>161</v>
      </c>
      <c r="H5" s="104" t="s">
        <v>129</v>
      </c>
      <c r="I5" s="104" t="s">
        <v>162</v>
      </c>
      <c r="J5" s="105" t="s">
        <v>70</v>
      </c>
    </row>
    <row r="6" spans="1:12" s="2" customFormat="1" ht="15.75" x14ac:dyDescent="0.5">
      <c r="A6" s="19">
        <v>4</v>
      </c>
      <c r="B6" s="32" t="s">
        <v>53</v>
      </c>
      <c r="C6" s="106">
        <v>86595579.572441056</v>
      </c>
      <c r="D6" s="33">
        <f t="shared" ref="D6:D63" si="0">C6/$C$65</f>
        <v>3.6847293306701778E-2</v>
      </c>
      <c r="E6" s="27">
        <f>'9J 16-17 WAFM alloc'!O6</f>
        <v>71312690.532442972</v>
      </c>
      <c r="F6" s="27">
        <f>IF(C6&lt;'Hard and variable floor'!$B$44,'Hard and variable floor'!$G$44, IF(C6&lt;'Hard and variable floor'!$B$45,'Hard and variable floor'!$G$45, IF(C6&lt;'Hard and variable floor'!$B$46,'Hard and variable floor'!$G$46, IF(C6&lt;'Hard and variable floor'!$B$47,'Hard and variable floor'!$G$47, IF(C6&gt;'Hard and variable floor'!$B$48,'Hard and variable floor'!$G$48)))))</f>
        <v>1874999.25</v>
      </c>
      <c r="G6" s="109" t="str">
        <f t="shared" ref="G6:G63" si="1">IF(F6&gt;E6,"Y","N")</f>
        <v>N</v>
      </c>
      <c r="H6" s="27" t="s">
        <v>560</v>
      </c>
      <c r="I6" s="133" t="str">
        <f t="shared" ref="I6:I63" si="2">IF(G6="Y",E6, "N/A ")</f>
        <v xml:space="preserve">N/A </v>
      </c>
      <c r="J6" s="133" t="str">
        <f t="shared" ref="J6:J63" si="3">IF(G6="Y",IF(F6=750000,750000,L6),"N/A")</f>
        <v>N/A</v>
      </c>
      <c r="K6" s="12">
        <f t="shared" ref="K6:K63" si="4">IF(H6&lt;F6,H6,F6)</f>
        <v>1874999.25</v>
      </c>
      <c r="L6" s="2" t="str">
        <f t="shared" ref="L6:L63" si="5">IF(I6&gt;K6,I6,K6)</f>
        <v xml:space="preserve">N/A </v>
      </c>
    </row>
    <row r="7" spans="1:12" s="2" customFormat="1" ht="15.75" x14ac:dyDescent="0.5">
      <c r="A7" s="19">
        <v>1</v>
      </c>
      <c r="B7" s="32" t="s">
        <v>4</v>
      </c>
      <c r="C7" s="106">
        <v>405149.41542079812</v>
      </c>
      <c r="D7" s="33">
        <f t="shared" si="0"/>
        <v>1.7239516632093705E-4</v>
      </c>
      <c r="E7" s="27">
        <f>'9J 16-17 WAFM alloc'!O7</f>
        <v>714069.40558610752</v>
      </c>
      <c r="F7" s="27">
        <f>IF(C7&lt;'Hard and variable floor'!$B$44,'Hard and variable floor'!$G$44, IF(C7&lt;'Hard and variable floor'!$B$45,'Hard and variable floor'!$G$45, IF(C7&lt;'Hard and variable floor'!$B$46,'Hard and variable floor'!$G$46, IF(C7&lt;'Hard and variable floor'!$B$47,'Hard and variable floor'!$G$47, IF(C7&gt;'Hard and variable floor'!$B$48,'Hard and variable floor'!$G$48)))))</f>
        <v>750000</v>
      </c>
      <c r="G7" s="109" t="str">
        <f t="shared" si="1"/>
        <v>Y</v>
      </c>
      <c r="H7" s="27">
        <v>825000.00000000012</v>
      </c>
      <c r="I7" s="27">
        <f t="shared" si="2"/>
        <v>714069.40558610752</v>
      </c>
      <c r="J7" s="133">
        <f t="shared" si="3"/>
        <v>750000</v>
      </c>
      <c r="K7" s="12">
        <f t="shared" si="4"/>
        <v>750000</v>
      </c>
      <c r="L7" s="12">
        <f t="shared" si="5"/>
        <v>750000</v>
      </c>
    </row>
    <row r="8" spans="1:12" s="2" customFormat="1" ht="15.75" x14ac:dyDescent="0.5">
      <c r="A8" s="19">
        <v>1</v>
      </c>
      <c r="B8" s="32" t="s">
        <v>5</v>
      </c>
      <c r="C8" s="106">
        <v>2923145.5103461398</v>
      </c>
      <c r="D8" s="33">
        <f t="shared" si="0"/>
        <v>1.2438279243548278E-3</v>
      </c>
      <c r="E8" s="27">
        <f>'9J 16-17 WAFM alloc'!O8</f>
        <v>2297402.2835562243</v>
      </c>
      <c r="F8" s="27">
        <f>IF(C8&lt;'Hard and variable floor'!$B$44,'Hard and variable floor'!$G$44, IF(C8&lt;'Hard and variable floor'!$B$45,'Hard and variable floor'!$G$45, IF(C8&lt;'Hard and variable floor'!$B$46,'Hard and variable floor'!$G$46, IF(C8&lt;'Hard and variable floor'!$B$47,'Hard and variable floor'!$G$47, IF(C8&gt;'Hard and variable floor'!$B$48,'Hard and variable floor'!$G$48)))))</f>
        <v>1874999.25</v>
      </c>
      <c r="G8" s="109" t="str">
        <f t="shared" si="1"/>
        <v>N</v>
      </c>
      <c r="H8" s="27" t="s">
        <v>560</v>
      </c>
      <c r="I8" s="133" t="str">
        <f t="shared" si="2"/>
        <v xml:space="preserve">N/A </v>
      </c>
      <c r="J8" s="133" t="str">
        <f t="shared" si="3"/>
        <v>N/A</v>
      </c>
      <c r="K8" s="12">
        <f t="shared" si="4"/>
        <v>1874999.25</v>
      </c>
      <c r="L8" s="2" t="str">
        <f t="shared" si="5"/>
        <v xml:space="preserve">N/A </v>
      </c>
    </row>
    <row r="9" spans="1:12" s="2" customFormat="1" ht="15.75" x14ac:dyDescent="0.5">
      <c r="A9" s="19">
        <v>2</v>
      </c>
      <c r="B9" s="32" t="s">
        <v>19</v>
      </c>
      <c r="C9" s="106">
        <v>13150406.779345984</v>
      </c>
      <c r="D9" s="33">
        <f t="shared" si="0"/>
        <v>5.5956308404362326E-3</v>
      </c>
      <c r="E9" s="27">
        <f>'9J 16-17 WAFM alloc'!O9</f>
        <v>9411312.8874307051</v>
      </c>
      <c r="F9" s="27">
        <f>IF(C9&lt;'Hard and variable floor'!$B$44,'Hard and variable floor'!$G$44, IF(C9&lt;'Hard and variable floor'!$B$45,'Hard and variable floor'!$G$45, IF(C9&lt;'Hard and variable floor'!$B$46,'Hard and variable floor'!$G$46, IF(C9&lt;'Hard and variable floor'!$B$47,'Hard and variable floor'!$G$47, IF(C9&gt;'Hard and variable floor'!$B$48,'Hard and variable floor'!$G$48)))))</f>
        <v>1874999.25</v>
      </c>
      <c r="G9" s="109" t="str">
        <f t="shared" si="1"/>
        <v>N</v>
      </c>
      <c r="H9" s="27" t="s">
        <v>560</v>
      </c>
      <c r="I9" s="133" t="str">
        <f t="shared" si="2"/>
        <v xml:space="preserve">N/A </v>
      </c>
      <c r="J9" s="133" t="str">
        <f t="shared" si="3"/>
        <v>N/A</v>
      </c>
      <c r="K9" s="12">
        <f t="shared" si="4"/>
        <v>1874999.25</v>
      </c>
      <c r="L9" s="2" t="str">
        <f t="shared" si="5"/>
        <v xml:space="preserve">N/A </v>
      </c>
    </row>
    <row r="10" spans="1:12" s="2" customFormat="1" ht="15.75" x14ac:dyDescent="0.5">
      <c r="A10" s="19">
        <v>1</v>
      </c>
      <c r="B10" s="32" t="s">
        <v>6</v>
      </c>
      <c r="C10" s="106">
        <v>2760256.374409779</v>
      </c>
      <c r="D10" s="33">
        <f t="shared" si="0"/>
        <v>1.1745169526175077E-3</v>
      </c>
      <c r="E10" s="27">
        <f>'9J 16-17 WAFM alloc'!O10</f>
        <v>2190616.822153375</v>
      </c>
      <c r="F10" s="27">
        <f>IF(C10&lt;'Hard and variable floor'!$B$44,'Hard and variable floor'!$G$44, IF(C10&lt;'Hard and variable floor'!$B$45,'Hard and variable floor'!$G$45, IF(C10&lt;'Hard and variable floor'!$B$46,'Hard and variable floor'!$G$46, IF(C10&lt;'Hard and variable floor'!$B$47,'Hard and variable floor'!$G$47, IF(C10&gt;'Hard and variable floor'!$B$48,'Hard and variable floor'!$G$48)))))</f>
        <v>1874999.25</v>
      </c>
      <c r="G10" s="109" t="str">
        <f t="shared" si="1"/>
        <v>N</v>
      </c>
      <c r="H10" s="27" t="s">
        <v>560</v>
      </c>
      <c r="I10" s="133" t="str">
        <f t="shared" si="2"/>
        <v xml:space="preserve">N/A </v>
      </c>
      <c r="J10" s="133" t="str">
        <f t="shared" si="3"/>
        <v>N/A</v>
      </c>
      <c r="K10" s="12">
        <f t="shared" si="4"/>
        <v>1874999.25</v>
      </c>
      <c r="L10" s="2" t="str">
        <f t="shared" si="5"/>
        <v xml:space="preserve">N/A </v>
      </c>
    </row>
    <row r="11" spans="1:12" s="2" customFormat="1" ht="15.75" x14ac:dyDescent="0.5">
      <c r="A11" s="19">
        <v>1</v>
      </c>
      <c r="B11" s="32" t="s">
        <v>7</v>
      </c>
      <c r="C11" s="106">
        <v>1842151.4426950139</v>
      </c>
      <c r="D11" s="33">
        <f t="shared" si="0"/>
        <v>7.8385403573127889E-4</v>
      </c>
      <c r="E11" s="27">
        <f>'9J 16-17 WAFM alloc'!O11</f>
        <v>1714954.8216225959</v>
      </c>
      <c r="F11" s="27">
        <f>IF(C11&lt;'Hard and variable floor'!$B$44,'Hard and variable floor'!$G$44, IF(C11&lt;'Hard and variable floor'!$B$45,'Hard and variable floor'!$G$45, IF(C11&lt;'Hard and variable floor'!$B$46,'Hard and variable floor'!$G$46, IF(C11&lt;'Hard and variable floor'!$B$47,'Hard and variable floor'!$G$47, IF(C11&gt;'Hard and variable floor'!$B$48,'Hard and variable floor'!$G$48)))))</f>
        <v>1874999.25</v>
      </c>
      <c r="G11" s="109" t="str">
        <f t="shared" si="1"/>
        <v>Y</v>
      </c>
      <c r="H11" s="27">
        <v>1876230.6073180069</v>
      </c>
      <c r="I11" s="27">
        <f t="shared" si="2"/>
        <v>1714954.8216225959</v>
      </c>
      <c r="J11" s="133">
        <f t="shared" si="3"/>
        <v>1874999.25</v>
      </c>
      <c r="K11" s="12">
        <f t="shared" si="4"/>
        <v>1874999.25</v>
      </c>
      <c r="L11" s="12">
        <f t="shared" si="5"/>
        <v>1874999.25</v>
      </c>
    </row>
    <row r="12" spans="1:12" s="2" customFormat="1" ht="15.75" x14ac:dyDescent="0.5">
      <c r="A12" s="19">
        <v>3</v>
      </c>
      <c r="B12" s="32" t="s">
        <v>41</v>
      </c>
      <c r="C12" s="106">
        <v>51243320.468307287</v>
      </c>
      <c r="D12" s="33">
        <f t="shared" si="0"/>
        <v>2.1804550170202264E-2</v>
      </c>
      <c r="E12" s="27">
        <f>'9J 16-17 WAFM alloc'!O12</f>
        <v>37729833.769002028</v>
      </c>
      <c r="F12" s="27">
        <f>IF(C12&lt;'Hard and variable floor'!$B$44,'Hard and variable floor'!$G$44, IF(C12&lt;'Hard and variable floor'!$B$45,'Hard and variable floor'!$G$45, IF(C12&lt;'Hard and variable floor'!$B$46,'Hard and variable floor'!$G$46, IF(C12&lt;'Hard and variable floor'!$B$47,'Hard and variable floor'!$G$47, IF(C12&gt;'Hard and variable floor'!$B$48,'Hard and variable floor'!$G$48)))))</f>
        <v>1874999.25</v>
      </c>
      <c r="G12" s="109" t="str">
        <f t="shared" si="1"/>
        <v>N</v>
      </c>
      <c r="H12" s="27" t="s">
        <v>560</v>
      </c>
      <c r="I12" s="133" t="str">
        <f t="shared" si="2"/>
        <v xml:space="preserve">N/A </v>
      </c>
      <c r="J12" s="133" t="str">
        <f t="shared" si="3"/>
        <v>N/A</v>
      </c>
      <c r="K12" s="12">
        <f t="shared" si="4"/>
        <v>1874999.25</v>
      </c>
      <c r="L12" s="2" t="str">
        <f t="shared" si="5"/>
        <v xml:space="preserve">N/A </v>
      </c>
    </row>
    <row r="13" spans="1:12" s="2" customFormat="1" ht="15.75" x14ac:dyDescent="0.5">
      <c r="A13" s="19">
        <v>1</v>
      </c>
      <c r="B13" s="32" t="s">
        <v>8</v>
      </c>
      <c r="C13" s="106">
        <v>3200856.3955327561</v>
      </c>
      <c r="D13" s="33">
        <f t="shared" si="0"/>
        <v>1.3619967095452399E-3</v>
      </c>
      <c r="E13" s="27">
        <f>'9J 16-17 WAFM alloc'!O13</f>
        <v>2534040.0897385073</v>
      </c>
      <c r="F13" s="27">
        <f>IF(C13&lt;'Hard and variable floor'!$B$44,'Hard and variable floor'!$G$44, IF(C13&lt;'Hard and variable floor'!$B$45,'Hard and variable floor'!$G$45, IF(C13&lt;'Hard and variable floor'!$B$46,'Hard and variable floor'!$G$46, IF(C13&lt;'Hard and variable floor'!$B$47,'Hard and variable floor'!$G$47, IF(C13&gt;'Hard and variable floor'!$B$48,'Hard and variable floor'!$G$48)))))</f>
        <v>1874999.25</v>
      </c>
      <c r="G13" s="109" t="str">
        <f t="shared" si="1"/>
        <v>N</v>
      </c>
      <c r="H13" s="27" t="s">
        <v>560</v>
      </c>
      <c r="I13" s="133" t="str">
        <f t="shared" si="2"/>
        <v xml:space="preserve">N/A </v>
      </c>
      <c r="J13" s="133" t="str">
        <f t="shared" si="3"/>
        <v>N/A</v>
      </c>
      <c r="K13" s="12">
        <f t="shared" si="4"/>
        <v>1874999.25</v>
      </c>
      <c r="L13" s="2" t="str">
        <f t="shared" si="5"/>
        <v xml:space="preserve">N/A </v>
      </c>
    </row>
    <row r="14" spans="1:12" s="2" customFormat="1" ht="15.75" x14ac:dyDescent="0.5">
      <c r="A14" s="19">
        <v>2</v>
      </c>
      <c r="B14" s="32" t="s">
        <v>20</v>
      </c>
      <c r="C14" s="106">
        <v>8768397.8131050486</v>
      </c>
      <c r="D14" s="33">
        <f t="shared" si="0"/>
        <v>3.7310417880977815E-3</v>
      </c>
      <c r="E14" s="27">
        <f>'9J 16-17 WAFM alloc'!O14</f>
        <v>6562099.1043333737</v>
      </c>
      <c r="F14" s="27">
        <f>IF(C14&lt;'Hard and variable floor'!$B$44,'Hard and variable floor'!$G$44, IF(C14&lt;'Hard and variable floor'!$B$45,'Hard and variable floor'!$G$45, IF(C14&lt;'Hard and variable floor'!$B$46,'Hard and variable floor'!$G$46, IF(C14&lt;'Hard and variable floor'!$B$47,'Hard and variable floor'!$G$47, IF(C14&gt;'Hard and variable floor'!$B$48,'Hard and variable floor'!$G$48)))))</f>
        <v>1874999.25</v>
      </c>
      <c r="G14" s="109" t="str">
        <f t="shared" si="1"/>
        <v>N</v>
      </c>
      <c r="H14" s="27" t="s">
        <v>560</v>
      </c>
      <c r="I14" s="133" t="str">
        <f t="shared" si="2"/>
        <v xml:space="preserve">N/A </v>
      </c>
      <c r="J14" s="133" t="str">
        <f t="shared" si="3"/>
        <v>N/A</v>
      </c>
      <c r="K14" s="12">
        <f t="shared" si="4"/>
        <v>1874999.25</v>
      </c>
      <c r="L14" s="2" t="str">
        <f t="shared" si="5"/>
        <v xml:space="preserve">N/A </v>
      </c>
    </row>
    <row r="15" spans="1:12" s="2" customFormat="1" ht="15.75" x14ac:dyDescent="0.5">
      <c r="A15" s="19">
        <v>3</v>
      </c>
      <c r="B15" s="32" t="s">
        <v>42</v>
      </c>
      <c r="C15" s="106">
        <v>68451783.512412369</v>
      </c>
      <c r="D15" s="33">
        <f t="shared" si="0"/>
        <v>2.9126924918133106E-2</v>
      </c>
      <c r="E15" s="27">
        <f>'9J 16-17 WAFM alloc'!O15</f>
        <v>47622817.824906752</v>
      </c>
      <c r="F15" s="27">
        <f>IF(C15&lt;'Hard and variable floor'!$B$44,'Hard and variable floor'!$G$44, IF(C15&lt;'Hard and variable floor'!$B$45,'Hard and variable floor'!$G$45, IF(C15&lt;'Hard and variable floor'!$B$46,'Hard and variable floor'!$G$46, IF(C15&lt;'Hard and variable floor'!$B$47,'Hard and variable floor'!$G$47, IF(C15&gt;'Hard and variable floor'!$B$48,'Hard and variable floor'!$G$48)))))</f>
        <v>1874999.25</v>
      </c>
      <c r="G15" s="109" t="str">
        <f t="shared" si="1"/>
        <v>N</v>
      </c>
      <c r="H15" s="27" t="s">
        <v>560</v>
      </c>
      <c r="I15" s="133" t="str">
        <f t="shared" si="2"/>
        <v xml:space="preserve">N/A </v>
      </c>
      <c r="J15" s="133" t="str">
        <f t="shared" si="3"/>
        <v>N/A</v>
      </c>
      <c r="K15" s="12">
        <f t="shared" si="4"/>
        <v>1874999.25</v>
      </c>
      <c r="L15" s="2" t="str">
        <f t="shared" si="5"/>
        <v xml:space="preserve">N/A </v>
      </c>
    </row>
    <row r="16" spans="1:12" s="2" customFormat="1" ht="15.75" x14ac:dyDescent="0.5">
      <c r="A16" s="19">
        <v>1</v>
      </c>
      <c r="B16" s="32" t="s">
        <v>9</v>
      </c>
      <c r="C16" s="106">
        <v>1918338.5169829738</v>
      </c>
      <c r="D16" s="33">
        <f t="shared" si="0"/>
        <v>8.1627240496361965E-4</v>
      </c>
      <c r="E16" s="27">
        <f>'9J 16-17 WAFM alloc'!O16</f>
        <v>1811480.0990383765</v>
      </c>
      <c r="F16" s="27">
        <f>IF(C16&lt;'Hard and variable floor'!$B$44,'Hard and variable floor'!$G$44, IF(C16&lt;'Hard and variable floor'!$B$45,'Hard and variable floor'!$G$45, IF(C16&lt;'Hard and variable floor'!$B$46,'Hard and variable floor'!$G$46, IF(C16&lt;'Hard and variable floor'!$B$47,'Hard and variable floor'!$G$47, IF(C16&gt;'Hard and variable floor'!$B$48,'Hard and variable floor'!$G$48)))))</f>
        <v>1874999.25</v>
      </c>
      <c r="G16" s="109" t="str">
        <f t="shared" si="1"/>
        <v>Y</v>
      </c>
      <c r="H16" s="27">
        <v>2062499.1750000003</v>
      </c>
      <c r="I16" s="133">
        <f t="shared" si="2"/>
        <v>1811480.0990383765</v>
      </c>
      <c r="J16" s="133">
        <f t="shared" si="3"/>
        <v>1874999.25</v>
      </c>
      <c r="K16" s="12">
        <f t="shared" si="4"/>
        <v>1874999.25</v>
      </c>
      <c r="L16" s="2">
        <f t="shared" si="5"/>
        <v>1874999.25</v>
      </c>
    </row>
    <row r="17" spans="1:12" s="2" customFormat="1" ht="15.75" x14ac:dyDescent="0.5">
      <c r="A17" s="19">
        <v>2</v>
      </c>
      <c r="B17" s="32" t="s">
        <v>21</v>
      </c>
      <c r="C17" s="106">
        <v>8073362.6350408308</v>
      </c>
      <c r="D17" s="33">
        <f t="shared" si="0"/>
        <v>3.4352973033208896E-3</v>
      </c>
      <c r="E17" s="27">
        <f>'9J 16-17 WAFM alloc'!O17</f>
        <v>5994092.5332317539</v>
      </c>
      <c r="F17" s="27">
        <f>IF(C17&lt;'Hard and variable floor'!$B$44,'Hard and variable floor'!$G$44, IF(C17&lt;'Hard and variable floor'!$B$45,'Hard and variable floor'!$G$45, IF(C17&lt;'Hard and variable floor'!$B$46,'Hard and variable floor'!$G$46, IF(C17&lt;'Hard and variable floor'!$B$47,'Hard and variable floor'!$G$47, IF(C17&gt;'Hard and variable floor'!$B$48,'Hard and variable floor'!$G$48)))))</f>
        <v>1874999.25</v>
      </c>
      <c r="G17" s="109" t="str">
        <f t="shared" si="1"/>
        <v>N</v>
      </c>
      <c r="H17" s="27" t="s">
        <v>560</v>
      </c>
      <c r="I17" s="133" t="str">
        <f t="shared" si="2"/>
        <v xml:space="preserve">N/A </v>
      </c>
      <c r="J17" s="133" t="str">
        <f t="shared" si="3"/>
        <v>N/A</v>
      </c>
      <c r="K17" s="12">
        <f t="shared" si="4"/>
        <v>1874999.25</v>
      </c>
      <c r="L17" s="2" t="str">
        <f t="shared" si="5"/>
        <v xml:space="preserve">N/A </v>
      </c>
    </row>
    <row r="18" spans="1:12" s="2" customFormat="1" ht="15.75" x14ac:dyDescent="0.5">
      <c r="A18" s="19">
        <v>2</v>
      </c>
      <c r="B18" s="32" t="s">
        <v>22</v>
      </c>
      <c r="C18" s="106">
        <v>11407375.323424947</v>
      </c>
      <c r="D18" s="33">
        <f t="shared" si="0"/>
        <v>4.8539533597121501E-3</v>
      </c>
      <c r="E18" s="27">
        <f>'9J 16-17 WAFM alloc'!O18</f>
        <v>8083870.6906979633</v>
      </c>
      <c r="F18" s="27">
        <f>IF(C18&lt;'Hard and variable floor'!$B$44,'Hard and variable floor'!$G$44, IF(C18&lt;'Hard and variable floor'!$B$45,'Hard and variable floor'!$G$45, IF(C18&lt;'Hard and variable floor'!$B$46,'Hard and variable floor'!$G$46, IF(C18&lt;'Hard and variable floor'!$B$47,'Hard and variable floor'!$G$47, IF(C18&gt;'Hard and variable floor'!$B$48,'Hard and variable floor'!$G$48)))))</f>
        <v>1874999.25</v>
      </c>
      <c r="G18" s="109" t="str">
        <f t="shared" si="1"/>
        <v>N</v>
      </c>
      <c r="H18" s="27" t="s">
        <v>560</v>
      </c>
      <c r="I18" s="133" t="str">
        <f t="shared" si="2"/>
        <v xml:space="preserve">N/A </v>
      </c>
      <c r="J18" s="133" t="str">
        <f t="shared" si="3"/>
        <v>N/A</v>
      </c>
      <c r="K18" s="12">
        <f t="shared" si="4"/>
        <v>1874999.25</v>
      </c>
      <c r="L18" s="2" t="str">
        <f t="shared" si="5"/>
        <v xml:space="preserve">N/A </v>
      </c>
    </row>
    <row r="19" spans="1:12" s="2" customFormat="1" ht="15.75" x14ac:dyDescent="0.5">
      <c r="A19" s="19">
        <v>1</v>
      </c>
      <c r="B19" s="32" t="s">
        <v>10</v>
      </c>
      <c r="C19" s="106">
        <v>1955944.621106362</v>
      </c>
      <c r="D19" s="33">
        <f t="shared" si="0"/>
        <v>8.3227418190880034E-4</v>
      </c>
      <c r="E19" s="27">
        <f>'9J 16-17 WAFM alloc'!O19</f>
        <v>1881511.0150040269</v>
      </c>
      <c r="F19" s="27">
        <f>IF(C19&lt;'Hard and variable floor'!$B$44,'Hard and variable floor'!$G$44, IF(C19&lt;'Hard and variable floor'!$B$45,'Hard and variable floor'!$G$45, IF(C19&lt;'Hard and variable floor'!$B$46,'Hard and variable floor'!$G$46, IF(C19&lt;'Hard and variable floor'!$B$47,'Hard and variable floor'!$G$47, IF(C19&gt;'Hard and variable floor'!$B$48,'Hard and variable floor'!$G$48)))))</f>
        <v>1874999.25</v>
      </c>
      <c r="G19" s="109" t="str">
        <f t="shared" si="1"/>
        <v>N</v>
      </c>
      <c r="H19" s="27" t="s">
        <v>560</v>
      </c>
      <c r="I19" s="27" t="str">
        <f t="shared" si="2"/>
        <v xml:space="preserve">N/A </v>
      </c>
      <c r="J19" s="133" t="str">
        <f t="shared" si="3"/>
        <v>N/A</v>
      </c>
      <c r="K19" s="12">
        <f t="shared" si="4"/>
        <v>1874999.25</v>
      </c>
      <c r="L19" s="12" t="str">
        <f t="shared" si="5"/>
        <v xml:space="preserve">N/A </v>
      </c>
    </row>
    <row r="20" spans="1:12" s="2" customFormat="1" ht="15.75" x14ac:dyDescent="0.5">
      <c r="A20" s="19">
        <v>3</v>
      </c>
      <c r="B20" s="32" t="s">
        <v>43</v>
      </c>
      <c r="C20" s="106">
        <v>70118503.630598769</v>
      </c>
      <c r="D20" s="33">
        <f t="shared" si="0"/>
        <v>2.9836131154273825E-2</v>
      </c>
      <c r="E20" s="27">
        <f>'9J 16-17 WAFM alloc'!O20</f>
        <v>44919228.956164889</v>
      </c>
      <c r="F20" s="27">
        <f>IF(C20&lt;'Hard and variable floor'!$B$44,'Hard and variable floor'!$G$44, IF(C20&lt;'Hard and variable floor'!$B$45,'Hard and variable floor'!$G$45, IF(C20&lt;'Hard and variable floor'!$B$46,'Hard and variable floor'!$G$46, IF(C20&lt;'Hard and variable floor'!$B$47,'Hard and variable floor'!$G$47, IF(C20&gt;'Hard and variable floor'!$B$48,'Hard and variable floor'!$G$48)))))</f>
        <v>1874999.25</v>
      </c>
      <c r="G20" s="109" t="str">
        <f t="shared" si="1"/>
        <v>N</v>
      </c>
      <c r="H20" s="27" t="s">
        <v>560</v>
      </c>
      <c r="I20" s="133" t="str">
        <f t="shared" si="2"/>
        <v xml:space="preserve">N/A </v>
      </c>
      <c r="J20" s="133" t="str">
        <f t="shared" si="3"/>
        <v>N/A</v>
      </c>
      <c r="K20" s="12">
        <f t="shared" si="4"/>
        <v>1874999.25</v>
      </c>
      <c r="L20" s="2" t="str">
        <f t="shared" si="5"/>
        <v xml:space="preserve">N/A </v>
      </c>
    </row>
    <row r="21" spans="1:12" s="2" customFormat="1" ht="15.75" x14ac:dyDescent="0.5">
      <c r="A21" s="19">
        <v>2</v>
      </c>
      <c r="B21" s="32" t="s">
        <v>23</v>
      </c>
      <c r="C21" s="106">
        <v>9140499.1139774099</v>
      </c>
      <c r="D21" s="33">
        <f t="shared" si="0"/>
        <v>3.8893746480514399E-3</v>
      </c>
      <c r="E21" s="27">
        <f>'9J 16-17 WAFM alloc'!O21</f>
        <v>6161823.644749796</v>
      </c>
      <c r="F21" s="27">
        <f>IF(C21&lt;'Hard and variable floor'!$B$44,'Hard and variable floor'!$G$44, IF(C21&lt;'Hard and variable floor'!$B$45,'Hard and variable floor'!$G$45, IF(C21&lt;'Hard and variable floor'!$B$46,'Hard and variable floor'!$G$46, IF(C21&lt;'Hard and variable floor'!$B$47,'Hard and variable floor'!$G$47, IF(C21&gt;'Hard and variable floor'!$B$48,'Hard and variable floor'!$G$48)))))</f>
        <v>1874999.25</v>
      </c>
      <c r="G21" s="109" t="str">
        <f t="shared" si="1"/>
        <v>N</v>
      </c>
      <c r="H21" s="27" t="s">
        <v>560</v>
      </c>
      <c r="I21" s="133" t="str">
        <f t="shared" si="2"/>
        <v xml:space="preserve">N/A </v>
      </c>
      <c r="J21" s="133" t="str">
        <f t="shared" si="3"/>
        <v>N/A</v>
      </c>
      <c r="K21" s="12">
        <f t="shared" si="4"/>
        <v>1874999.25</v>
      </c>
      <c r="L21" s="2" t="str">
        <f t="shared" si="5"/>
        <v xml:space="preserve">N/A </v>
      </c>
    </row>
    <row r="22" spans="1:12" s="2" customFormat="1" ht="15.75" x14ac:dyDescent="0.5">
      <c r="A22" s="19">
        <v>2</v>
      </c>
      <c r="B22" s="32" t="s">
        <v>24</v>
      </c>
      <c r="C22" s="106">
        <v>3950709.6200308902</v>
      </c>
      <c r="D22" s="33">
        <f t="shared" si="0"/>
        <v>1.6810668264782304E-3</v>
      </c>
      <c r="E22" s="27">
        <f>'9J 16-17 WAFM alloc'!O22</f>
        <v>3112189.8290184815</v>
      </c>
      <c r="F22" s="27">
        <f>IF(C22&lt;'Hard and variable floor'!$B$44,'Hard and variable floor'!$G$44, IF(C22&lt;'Hard and variable floor'!$B$45,'Hard and variable floor'!$G$45, IF(C22&lt;'Hard and variable floor'!$B$46,'Hard and variable floor'!$G$46, IF(C22&lt;'Hard and variable floor'!$B$47,'Hard and variable floor'!$G$47, IF(C22&gt;'Hard and variable floor'!$B$48,'Hard and variable floor'!$G$48)))))</f>
        <v>1874999.25</v>
      </c>
      <c r="G22" s="109" t="str">
        <f t="shared" si="1"/>
        <v>N</v>
      </c>
      <c r="H22" s="27" t="s">
        <v>560</v>
      </c>
      <c r="I22" s="133" t="str">
        <f t="shared" si="2"/>
        <v xml:space="preserve">N/A </v>
      </c>
      <c r="J22" s="133" t="str">
        <f t="shared" si="3"/>
        <v>N/A</v>
      </c>
      <c r="K22" s="12">
        <f t="shared" si="4"/>
        <v>1874999.25</v>
      </c>
      <c r="L22" s="2" t="str">
        <f t="shared" si="5"/>
        <v xml:space="preserve">N/A </v>
      </c>
    </row>
    <row r="23" spans="1:12" s="2" customFormat="1" ht="15.75" x14ac:dyDescent="0.5">
      <c r="A23" s="19">
        <v>1</v>
      </c>
      <c r="B23" s="32" t="s">
        <v>11</v>
      </c>
      <c r="C23" s="106">
        <v>2540015.8000450134</v>
      </c>
      <c r="D23" s="33">
        <f t="shared" si="0"/>
        <v>1.0808023648553669E-3</v>
      </c>
      <c r="E23" s="27">
        <f>'9J 16-17 WAFM alloc'!O23</f>
        <v>1978689.2733628328</v>
      </c>
      <c r="F23" s="27">
        <f>IF(C23&lt;'Hard and variable floor'!$B$44,'Hard and variable floor'!$G$44, IF(C23&lt;'Hard and variable floor'!$B$45,'Hard and variable floor'!$G$45, IF(C23&lt;'Hard and variable floor'!$B$46,'Hard and variable floor'!$G$46, IF(C23&lt;'Hard and variable floor'!$B$47,'Hard and variable floor'!$G$47, IF(C23&gt;'Hard and variable floor'!$B$48,'Hard and variable floor'!$G$48)))))</f>
        <v>1874999.25</v>
      </c>
      <c r="G23" s="109" t="str">
        <f t="shared" si="1"/>
        <v>N</v>
      </c>
      <c r="H23" s="27" t="s">
        <v>560</v>
      </c>
      <c r="I23" s="133" t="str">
        <f t="shared" si="2"/>
        <v xml:space="preserve">N/A </v>
      </c>
      <c r="J23" s="133" t="str">
        <f t="shared" si="3"/>
        <v>N/A</v>
      </c>
      <c r="K23" s="12">
        <f t="shared" si="4"/>
        <v>1874999.25</v>
      </c>
      <c r="L23" s="2" t="str">
        <f t="shared" si="5"/>
        <v xml:space="preserve">N/A </v>
      </c>
    </row>
    <row r="24" spans="1:12" s="2" customFormat="1" ht="15.75" x14ac:dyDescent="0.5">
      <c r="A24" s="19">
        <v>4</v>
      </c>
      <c r="B24" s="32" t="s">
        <v>54</v>
      </c>
      <c r="C24" s="106">
        <v>700570381.14915884</v>
      </c>
      <c r="D24" s="33">
        <f t="shared" si="0"/>
        <v>0.29809976956844841</v>
      </c>
      <c r="E24" s="27">
        <f>'9J 16-17 WAFM alloc'!O24</f>
        <v>498687659.09404403</v>
      </c>
      <c r="F24" s="27">
        <f>IF(C24&lt;'Hard and variable floor'!$B$44,'Hard and variable floor'!$G$44, IF(C24&lt;'Hard and variable floor'!$B$45,'Hard and variable floor'!$G$45, IF(C24&lt;'Hard and variable floor'!$B$46,'Hard and variable floor'!$G$46, IF(C24&lt;'Hard and variable floor'!$B$47,'Hard and variable floor'!$G$47, IF(C24&gt;'Hard and variable floor'!$B$48,'Hard and variable floor'!$G$48)))))</f>
        <v>1874999.25</v>
      </c>
      <c r="G24" s="109" t="str">
        <f t="shared" si="1"/>
        <v>N</v>
      </c>
      <c r="H24" s="27" t="s">
        <v>560</v>
      </c>
      <c r="I24" s="133" t="str">
        <f t="shared" si="2"/>
        <v xml:space="preserve">N/A </v>
      </c>
      <c r="J24" s="133" t="str">
        <f t="shared" si="3"/>
        <v>N/A</v>
      </c>
      <c r="K24" s="12">
        <f t="shared" si="4"/>
        <v>1874999.25</v>
      </c>
      <c r="L24" s="2" t="str">
        <f t="shared" si="5"/>
        <v xml:space="preserve">N/A </v>
      </c>
    </row>
    <row r="25" spans="1:12" s="2" customFormat="1" ht="15.75" x14ac:dyDescent="0.5">
      <c r="A25" s="19">
        <v>2</v>
      </c>
      <c r="B25" s="32" t="s">
        <v>25</v>
      </c>
      <c r="C25" s="106">
        <v>9898382.0339808129</v>
      </c>
      <c r="D25" s="33">
        <f t="shared" si="0"/>
        <v>4.2118614814832056E-3</v>
      </c>
      <c r="E25" s="27">
        <f>'9J 16-17 WAFM alloc'!O25</f>
        <v>7389202.8183735237</v>
      </c>
      <c r="F25" s="27">
        <f>IF(C25&lt;'Hard and variable floor'!$B$44,'Hard and variable floor'!$G$44, IF(C25&lt;'Hard and variable floor'!$B$45,'Hard and variable floor'!$G$45, IF(C25&lt;'Hard and variable floor'!$B$46,'Hard and variable floor'!$G$46, IF(C25&lt;'Hard and variable floor'!$B$47,'Hard and variable floor'!$G$47, IF(C25&gt;'Hard and variable floor'!$B$48,'Hard and variable floor'!$G$48)))))</f>
        <v>1874999.25</v>
      </c>
      <c r="G25" s="109" t="str">
        <f t="shared" si="1"/>
        <v>N</v>
      </c>
      <c r="H25" s="27" t="s">
        <v>560</v>
      </c>
      <c r="I25" s="133" t="str">
        <f t="shared" si="2"/>
        <v xml:space="preserve">N/A </v>
      </c>
      <c r="J25" s="133" t="str">
        <f t="shared" si="3"/>
        <v>N/A</v>
      </c>
      <c r="K25" s="12">
        <f t="shared" si="4"/>
        <v>1874999.25</v>
      </c>
      <c r="L25" s="2" t="str">
        <f t="shared" si="5"/>
        <v xml:space="preserve">N/A </v>
      </c>
    </row>
    <row r="26" spans="1:12" s="2" customFormat="1" ht="15.75" x14ac:dyDescent="0.5">
      <c r="A26" s="19">
        <v>2</v>
      </c>
      <c r="B26" s="32" t="s">
        <v>26</v>
      </c>
      <c r="C26" s="106">
        <v>13074250.695997864</v>
      </c>
      <c r="D26" s="33">
        <f t="shared" si="0"/>
        <v>5.5632256581616534E-3</v>
      </c>
      <c r="E26" s="27">
        <f>'9J 16-17 WAFM alloc'!O26</f>
        <v>12114357.942464968</v>
      </c>
      <c r="F26" s="27">
        <f>IF(C26&lt;'Hard and variable floor'!$B$44,'Hard and variable floor'!$G$44, IF(C26&lt;'Hard and variable floor'!$B$45,'Hard and variable floor'!$G$45, IF(C26&lt;'Hard and variable floor'!$B$46,'Hard and variable floor'!$G$46, IF(C26&lt;'Hard and variable floor'!$B$47,'Hard and variable floor'!$G$47, IF(C26&gt;'Hard and variable floor'!$B$48,'Hard and variable floor'!$G$48)))))</f>
        <v>1874999.25</v>
      </c>
      <c r="G26" s="109" t="str">
        <f t="shared" si="1"/>
        <v>N</v>
      </c>
      <c r="H26" s="27" t="s">
        <v>560</v>
      </c>
      <c r="I26" s="133" t="str">
        <f t="shared" si="2"/>
        <v xml:space="preserve">N/A </v>
      </c>
      <c r="J26" s="133" t="str">
        <f t="shared" si="3"/>
        <v>N/A</v>
      </c>
      <c r="K26" s="12">
        <f t="shared" si="4"/>
        <v>1874999.25</v>
      </c>
      <c r="L26" s="2" t="str">
        <f t="shared" si="5"/>
        <v xml:space="preserve">N/A </v>
      </c>
    </row>
    <row r="27" spans="1:12" s="2" customFormat="1" ht="15.75" x14ac:dyDescent="0.5">
      <c r="A27" s="19">
        <v>1</v>
      </c>
      <c r="B27" s="32" t="s">
        <v>12</v>
      </c>
      <c r="C27" s="106">
        <v>1221848.0251891071</v>
      </c>
      <c r="D27" s="33">
        <f t="shared" si="0"/>
        <v>5.1990866950309676E-4</v>
      </c>
      <c r="E27" s="27">
        <f>'9J 16-17 WAFM alloc'!O27</f>
        <v>1130913.8637978353</v>
      </c>
      <c r="F27" s="27">
        <f>IF(C27&lt;'Hard and variable floor'!$B$44,'Hard and variable floor'!$G$44, IF(C27&lt;'Hard and variable floor'!$B$45,'Hard and variable floor'!$G$45, IF(C27&lt;'Hard and variable floor'!$B$46,'Hard and variable floor'!$G$46, IF(C27&lt;'Hard and variable floor'!$B$47,'Hard and variable floor'!$G$47, IF(C27&gt;'Hard and variable floor'!$B$48,'Hard and variable floor'!$G$48)))))</f>
        <v>874999.75</v>
      </c>
      <c r="G27" s="109" t="str">
        <f t="shared" si="1"/>
        <v>N</v>
      </c>
      <c r="H27" s="27" t="s">
        <v>560</v>
      </c>
      <c r="I27" s="27" t="str">
        <f t="shared" si="2"/>
        <v xml:space="preserve">N/A </v>
      </c>
      <c r="J27" s="133" t="str">
        <f t="shared" si="3"/>
        <v>N/A</v>
      </c>
      <c r="K27" s="12">
        <f t="shared" si="4"/>
        <v>874999.75</v>
      </c>
      <c r="L27" s="12" t="str">
        <f t="shared" si="5"/>
        <v xml:space="preserve">N/A </v>
      </c>
    </row>
    <row r="28" spans="1:12" s="2" customFormat="1" ht="15.75" x14ac:dyDescent="0.5">
      <c r="A28" s="19">
        <v>2</v>
      </c>
      <c r="B28" s="32" t="s">
        <v>27</v>
      </c>
      <c r="C28" s="106">
        <v>6680382.8556485046</v>
      </c>
      <c r="D28" s="33">
        <f t="shared" si="0"/>
        <v>2.8425703447971461E-3</v>
      </c>
      <c r="E28" s="27">
        <f>'9J 16-17 WAFM alloc'!O28</f>
        <v>5215880.7302968223</v>
      </c>
      <c r="F28" s="27">
        <f>IF(C28&lt;'Hard and variable floor'!$B$44,'Hard and variable floor'!$G$44, IF(C28&lt;'Hard and variable floor'!$B$45,'Hard and variable floor'!$G$45, IF(C28&lt;'Hard and variable floor'!$B$46,'Hard and variable floor'!$G$46, IF(C28&lt;'Hard and variable floor'!$B$47,'Hard and variable floor'!$G$47, IF(C28&gt;'Hard and variable floor'!$B$48,'Hard and variable floor'!$G$48)))))</f>
        <v>1874999.25</v>
      </c>
      <c r="G28" s="109" t="str">
        <f t="shared" si="1"/>
        <v>N</v>
      </c>
      <c r="H28" s="27" t="s">
        <v>560</v>
      </c>
      <c r="I28" s="133" t="str">
        <f t="shared" si="2"/>
        <v xml:space="preserve">N/A </v>
      </c>
      <c r="J28" s="133" t="str">
        <f t="shared" si="3"/>
        <v>N/A</v>
      </c>
      <c r="K28" s="12">
        <f t="shared" si="4"/>
        <v>1874999.25</v>
      </c>
      <c r="L28" s="2" t="str">
        <f t="shared" si="5"/>
        <v xml:space="preserve">N/A </v>
      </c>
    </row>
    <row r="29" spans="1:12" s="2" customFormat="1" ht="15.75" x14ac:dyDescent="0.5">
      <c r="A29" s="19">
        <v>2</v>
      </c>
      <c r="B29" s="32" t="s">
        <v>28</v>
      </c>
      <c r="C29" s="106">
        <v>16566558.463905076</v>
      </c>
      <c r="D29" s="33">
        <f t="shared" si="0"/>
        <v>7.0492378689085275E-3</v>
      </c>
      <c r="E29" s="27">
        <f>'9J 16-17 WAFM alloc'!O29</f>
        <v>11646112.672652833</v>
      </c>
      <c r="F29" s="27">
        <f>IF(C29&lt;'Hard and variable floor'!$B$44,'Hard and variable floor'!$G$44, IF(C29&lt;'Hard and variable floor'!$B$45,'Hard and variable floor'!$G$45, IF(C29&lt;'Hard and variable floor'!$B$46,'Hard and variable floor'!$G$46, IF(C29&lt;'Hard and variable floor'!$B$47,'Hard and variable floor'!$G$47, IF(C29&gt;'Hard and variable floor'!$B$48,'Hard and variable floor'!$G$48)))))</f>
        <v>1874999.25</v>
      </c>
      <c r="G29" s="109" t="str">
        <f t="shared" si="1"/>
        <v>N</v>
      </c>
      <c r="H29" s="27" t="s">
        <v>560</v>
      </c>
      <c r="I29" s="133" t="str">
        <f t="shared" si="2"/>
        <v xml:space="preserve">N/A </v>
      </c>
      <c r="J29" s="133" t="str">
        <f t="shared" si="3"/>
        <v>N/A</v>
      </c>
      <c r="K29" s="12">
        <f t="shared" si="4"/>
        <v>1874999.25</v>
      </c>
      <c r="L29" s="2" t="str">
        <f t="shared" si="5"/>
        <v xml:space="preserve">N/A </v>
      </c>
    </row>
    <row r="30" spans="1:12" s="2" customFormat="1" ht="15.75" x14ac:dyDescent="0.5">
      <c r="A30" s="19">
        <v>1</v>
      </c>
      <c r="B30" s="32" t="s">
        <v>13</v>
      </c>
      <c r="C30" s="106">
        <v>848626.88016772002</v>
      </c>
      <c r="D30" s="33">
        <f t="shared" si="0"/>
        <v>3.6109930455899112E-4</v>
      </c>
      <c r="E30" s="27">
        <f>'9J 16-17 WAFM alloc'!O30</f>
        <v>888539.1856984084</v>
      </c>
      <c r="F30" s="27">
        <f>IF(C30&lt;'Hard and variable floor'!$B$44,'Hard and variable floor'!$G$44, IF(C30&lt;'Hard and variable floor'!$B$45,'Hard and variable floor'!$G$45, IF(C30&lt;'Hard and variable floor'!$B$46,'Hard and variable floor'!$G$46, IF(C30&lt;'Hard and variable floor'!$B$47,'Hard and variable floor'!$G$47, IF(C30&gt;'Hard and variable floor'!$B$48,'Hard and variable floor'!$G$48)))))</f>
        <v>874999.75</v>
      </c>
      <c r="G30" s="109" t="str">
        <f t="shared" si="1"/>
        <v>N</v>
      </c>
      <c r="H30" s="27" t="s">
        <v>560</v>
      </c>
      <c r="I30" s="27" t="str">
        <f t="shared" si="2"/>
        <v xml:space="preserve">N/A </v>
      </c>
      <c r="J30" s="133" t="str">
        <f t="shared" si="3"/>
        <v>N/A</v>
      </c>
      <c r="K30" s="12">
        <f t="shared" si="4"/>
        <v>874999.75</v>
      </c>
      <c r="L30" s="12" t="str">
        <f t="shared" si="5"/>
        <v xml:space="preserve">N/A </v>
      </c>
    </row>
    <row r="31" spans="1:12" s="2" customFormat="1" ht="15.75" x14ac:dyDescent="0.5">
      <c r="A31" s="19">
        <v>1</v>
      </c>
      <c r="B31" s="32" t="s">
        <v>14</v>
      </c>
      <c r="C31" s="106">
        <v>1853032.8748876948</v>
      </c>
      <c r="D31" s="33">
        <f t="shared" si="0"/>
        <v>7.884841949793649E-4</v>
      </c>
      <c r="E31" s="27">
        <f>'9J 16-17 WAFM alloc'!O31</f>
        <v>1592613.7394450638</v>
      </c>
      <c r="F31" s="27">
        <f>IF(C31&lt;'Hard and variable floor'!$B$44,'Hard and variable floor'!$G$44, IF(C31&lt;'Hard and variable floor'!$B$45,'Hard and variable floor'!$G$45, IF(C31&lt;'Hard and variable floor'!$B$46,'Hard and variable floor'!$G$46, IF(C31&lt;'Hard and variable floor'!$B$47,'Hard and variable floor'!$G$47, IF(C31&gt;'Hard and variable floor'!$B$48,'Hard and variable floor'!$G$48)))))</f>
        <v>1874999.25</v>
      </c>
      <c r="G31" s="109" t="str">
        <f t="shared" si="1"/>
        <v>Y</v>
      </c>
      <c r="H31" s="27">
        <v>1700373.6712571003</v>
      </c>
      <c r="I31" s="27">
        <f t="shared" si="2"/>
        <v>1592613.7394450638</v>
      </c>
      <c r="J31" s="133">
        <f t="shared" si="3"/>
        <v>1700373.6712571003</v>
      </c>
      <c r="K31" s="12">
        <f t="shared" si="4"/>
        <v>1700373.6712571003</v>
      </c>
      <c r="L31" s="12">
        <f t="shared" si="5"/>
        <v>1700373.6712571003</v>
      </c>
    </row>
    <row r="32" spans="1:12" s="2" customFormat="1" ht="15.75" x14ac:dyDescent="0.5">
      <c r="A32" s="19">
        <v>3</v>
      </c>
      <c r="B32" s="32" t="s">
        <v>44</v>
      </c>
      <c r="C32" s="106">
        <v>22649369.676905781</v>
      </c>
      <c r="D32" s="33">
        <f t="shared" si="0"/>
        <v>9.6375354471611493E-3</v>
      </c>
      <c r="E32" s="27">
        <f>'9J 16-17 WAFM alloc'!O32</f>
        <v>16440293.276644394</v>
      </c>
      <c r="F32" s="27">
        <f>IF(C32&lt;'Hard and variable floor'!$B$44,'Hard and variable floor'!$G$44, IF(C32&lt;'Hard and variable floor'!$B$45,'Hard and variable floor'!$G$45, IF(C32&lt;'Hard and variable floor'!$B$46,'Hard and variable floor'!$G$46, IF(C32&lt;'Hard and variable floor'!$B$47,'Hard and variable floor'!$G$47, IF(C32&gt;'Hard and variable floor'!$B$48,'Hard and variable floor'!$G$48)))))</f>
        <v>1874999.25</v>
      </c>
      <c r="G32" s="109" t="str">
        <f t="shared" si="1"/>
        <v>N</v>
      </c>
      <c r="H32" s="27" t="s">
        <v>560</v>
      </c>
      <c r="I32" s="133" t="str">
        <f t="shared" si="2"/>
        <v xml:space="preserve">N/A </v>
      </c>
      <c r="J32" s="133" t="str">
        <f t="shared" si="3"/>
        <v>N/A</v>
      </c>
      <c r="K32" s="12">
        <f t="shared" si="4"/>
        <v>1874999.25</v>
      </c>
      <c r="L32" s="2" t="str">
        <f t="shared" si="5"/>
        <v xml:space="preserve">N/A </v>
      </c>
    </row>
    <row r="33" spans="1:12" s="2" customFormat="1" ht="15.75" x14ac:dyDescent="0.5">
      <c r="A33" s="19">
        <v>2</v>
      </c>
      <c r="B33" s="32" t="s">
        <v>29</v>
      </c>
      <c r="C33" s="106">
        <v>9024771.244739119</v>
      </c>
      <c r="D33" s="33">
        <f t="shared" si="0"/>
        <v>3.8401312713959869E-3</v>
      </c>
      <c r="E33" s="27">
        <f>'9J 16-17 WAFM alloc'!O33</f>
        <v>6851267.9732782049</v>
      </c>
      <c r="F33" s="27">
        <f>IF(C33&lt;'Hard and variable floor'!$B$44,'Hard and variable floor'!$G$44, IF(C33&lt;'Hard and variable floor'!$B$45,'Hard and variable floor'!$G$45, IF(C33&lt;'Hard and variable floor'!$B$46,'Hard and variable floor'!$G$46, IF(C33&lt;'Hard and variable floor'!$B$47,'Hard and variable floor'!$G$47, IF(C33&gt;'Hard and variable floor'!$B$48,'Hard and variable floor'!$G$48)))))</f>
        <v>1874999.25</v>
      </c>
      <c r="G33" s="109" t="str">
        <f t="shared" si="1"/>
        <v>N</v>
      </c>
      <c r="H33" s="27" t="s">
        <v>560</v>
      </c>
      <c r="I33" s="133" t="str">
        <f t="shared" si="2"/>
        <v xml:space="preserve">N/A </v>
      </c>
      <c r="J33" s="133" t="str">
        <f t="shared" si="3"/>
        <v>N/A</v>
      </c>
      <c r="K33" s="12">
        <f t="shared" si="4"/>
        <v>1874999.25</v>
      </c>
      <c r="L33" s="2" t="str">
        <f t="shared" si="5"/>
        <v xml:space="preserve">N/A </v>
      </c>
    </row>
    <row r="34" spans="1:12" s="2" customFormat="1" ht="15.75" x14ac:dyDescent="0.5">
      <c r="A34" s="19">
        <v>2</v>
      </c>
      <c r="B34" s="32" t="s">
        <v>30</v>
      </c>
      <c r="C34" s="106">
        <v>5266676.2771302313</v>
      </c>
      <c r="D34" s="33">
        <f t="shared" si="0"/>
        <v>2.2410239240043851E-3</v>
      </c>
      <c r="E34" s="27">
        <f>'9J 16-17 WAFM alloc'!O34</f>
        <v>4229556.9854611009</v>
      </c>
      <c r="F34" s="27">
        <f>IF(C34&lt;'Hard and variable floor'!$B$44,'Hard and variable floor'!$G$44, IF(C34&lt;'Hard and variable floor'!$B$45,'Hard and variable floor'!$G$45, IF(C34&lt;'Hard and variable floor'!$B$46,'Hard and variable floor'!$G$46, IF(C34&lt;'Hard and variable floor'!$B$47,'Hard and variable floor'!$G$47, IF(C34&gt;'Hard and variable floor'!$B$48,'Hard and variable floor'!$G$48)))))</f>
        <v>1874999.25</v>
      </c>
      <c r="G34" s="109" t="str">
        <f t="shared" si="1"/>
        <v>N</v>
      </c>
      <c r="H34" s="27" t="s">
        <v>560</v>
      </c>
      <c r="I34" s="133" t="str">
        <f t="shared" si="2"/>
        <v xml:space="preserve">N/A </v>
      </c>
      <c r="J34" s="133" t="str">
        <f t="shared" si="3"/>
        <v>N/A</v>
      </c>
      <c r="K34" s="12">
        <f t="shared" si="4"/>
        <v>1874999.25</v>
      </c>
      <c r="L34" s="2" t="str">
        <f t="shared" si="5"/>
        <v xml:space="preserve">N/A </v>
      </c>
    </row>
    <row r="35" spans="1:12" s="2" customFormat="1" ht="15.75" x14ac:dyDescent="0.5">
      <c r="A35" s="19">
        <v>4</v>
      </c>
      <c r="B35" s="32" t="s">
        <v>55</v>
      </c>
      <c r="C35" s="106">
        <v>168407954.84397456</v>
      </c>
      <c r="D35" s="33">
        <f t="shared" si="0"/>
        <v>7.165928489602226E-2</v>
      </c>
      <c r="E35" s="27">
        <f>'9J 16-17 WAFM alloc'!O35</f>
        <v>135137659.96053433</v>
      </c>
      <c r="F35" s="27">
        <f>IF(C35&lt;'Hard and variable floor'!$B$44,'Hard and variable floor'!$G$44, IF(C35&lt;'Hard and variable floor'!$B$45,'Hard and variable floor'!$G$45, IF(C35&lt;'Hard and variable floor'!$B$46,'Hard and variable floor'!$G$46, IF(C35&lt;'Hard and variable floor'!$B$47,'Hard and variable floor'!$G$47, IF(C35&gt;'Hard and variable floor'!$B$48,'Hard and variable floor'!$G$48)))))</f>
        <v>1874999.25</v>
      </c>
      <c r="G35" s="109" t="str">
        <f t="shared" si="1"/>
        <v>N</v>
      </c>
      <c r="H35" s="27" t="s">
        <v>560</v>
      </c>
      <c r="I35" s="133" t="str">
        <f t="shared" si="2"/>
        <v xml:space="preserve">N/A </v>
      </c>
      <c r="J35" s="133" t="str">
        <f t="shared" si="3"/>
        <v>N/A</v>
      </c>
      <c r="K35" s="12">
        <f t="shared" si="4"/>
        <v>1874999.25</v>
      </c>
      <c r="L35" s="2" t="str">
        <f t="shared" si="5"/>
        <v xml:space="preserve">N/A </v>
      </c>
    </row>
    <row r="36" spans="1:12" s="2" customFormat="1" ht="15.75" x14ac:dyDescent="0.5">
      <c r="A36" s="19">
        <v>2</v>
      </c>
      <c r="B36" s="32" t="s">
        <v>31</v>
      </c>
      <c r="C36" s="106">
        <v>21108234.593810439</v>
      </c>
      <c r="D36" s="33">
        <f t="shared" si="0"/>
        <v>8.9817669112561768E-3</v>
      </c>
      <c r="E36" s="27">
        <f>'9J 16-17 WAFM alloc'!O36</f>
        <v>14763447.17847418</v>
      </c>
      <c r="F36" s="27">
        <f>IF(C36&lt;'Hard and variable floor'!$B$44,'Hard and variable floor'!$G$44, IF(C36&lt;'Hard and variable floor'!$B$45,'Hard and variable floor'!$G$45, IF(C36&lt;'Hard and variable floor'!$B$46,'Hard and variable floor'!$G$46, IF(C36&lt;'Hard and variable floor'!$B$47,'Hard and variable floor'!$G$47, IF(C36&gt;'Hard and variable floor'!$B$48,'Hard and variable floor'!$G$48)))))</f>
        <v>1874999.25</v>
      </c>
      <c r="G36" s="109" t="str">
        <f t="shared" si="1"/>
        <v>N</v>
      </c>
      <c r="H36" s="27" t="s">
        <v>560</v>
      </c>
      <c r="I36" s="133" t="str">
        <f t="shared" si="2"/>
        <v xml:space="preserve">N/A </v>
      </c>
      <c r="J36" s="133" t="str">
        <f t="shared" si="3"/>
        <v>N/A</v>
      </c>
      <c r="K36" s="12">
        <f t="shared" si="4"/>
        <v>1874999.25</v>
      </c>
      <c r="L36" s="2" t="str">
        <f t="shared" si="5"/>
        <v xml:space="preserve">N/A </v>
      </c>
    </row>
    <row r="37" spans="1:12" s="2" customFormat="1" ht="15.75" x14ac:dyDescent="0.5">
      <c r="A37" s="19">
        <v>1</v>
      </c>
      <c r="B37" s="32" t="s">
        <v>15</v>
      </c>
      <c r="C37" s="106">
        <v>1332623.4522660612</v>
      </c>
      <c r="D37" s="33">
        <f t="shared" si="0"/>
        <v>5.6704473202306754E-4</v>
      </c>
      <c r="E37" s="27">
        <f>'9J 16-17 WAFM alloc'!O37</f>
        <v>1245061.3169192527</v>
      </c>
      <c r="F37" s="27">
        <f>IF(C37&lt;'Hard and variable floor'!$B$44,'Hard and variable floor'!$G$44, IF(C37&lt;'Hard and variable floor'!$B$45,'Hard and variable floor'!$G$45, IF(C37&lt;'Hard and variable floor'!$B$46,'Hard and variable floor'!$G$46, IF(C37&lt;'Hard and variable floor'!$B$47,'Hard and variable floor'!$G$47, IF(C37&gt;'Hard and variable floor'!$B$48,'Hard and variable floor'!$G$48)))))</f>
        <v>1249999.5</v>
      </c>
      <c r="G37" s="109" t="str">
        <f t="shared" si="1"/>
        <v>Y</v>
      </c>
      <c r="H37" s="27">
        <v>1399087.4258518587</v>
      </c>
      <c r="I37" s="133">
        <f t="shared" si="2"/>
        <v>1245061.3169192527</v>
      </c>
      <c r="J37" s="133">
        <f t="shared" si="3"/>
        <v>1249999.5</v>
      </c>
      <c r="K37" s="12">
        <f t="shared" si="4"/>
        <v>1249999.5</v>
      </c>
      <c r="L37" s="2">
        <f t="shared" si="5"/>
        <v>1249999.5</v>
      </c>
    </row>
    <row r="38" spans="1:12" s="2" customFormat="1" ht="15.75" x14ac:dyDescent="0.5">
      <c r="A38" s="19">
        <v>4</v>
      </c>
      <c r="B38" s="32" t="s">
        <v>56</v>
      </c>
      <c r="C38" s="106">
        <v>118145752.73973691</v>
      </c>
      <c r="D38" s="33">
        <f t="shared" si="0"/>
        <v>5.0272210494305657E-2</v>
      </c>
      <c r="E38" s="27">
        <f>'9J 16-17 WAFM alloc'!O38</f>
        <v>80034286.818105131</v>
      </c>
      <c r="F38" s="27">
        <f>IF(C38&lt;'Hard and variable floor'!$B$44,'Hard and variable floor'!$G$44, IF(C38&lt;'Hard and variable floor'!$B$45,'Hard and variable floor'!$G$45, IF(C38&lt;'Hard and variable floor'!$B$46,'Hard and variable floor'!$G$46, IF(C38&lt;'Hard and variable floor'!$B$47,'Hard and variable floor'!$G$47, IF(C38&gt;'Hard and variable floor'!$B$48,'Hard and variable floor'!$G$48)))))</f>
        <v>1874999.25</v>
      </c>
      <c r="G38" s="109" t="str">
        <f t="shared" si="1"/>
        <v>N</v>
      </c>
      <c r="H38" s="27" t="s">
        <v>560</v>
      </c>
      <c r="I38" s="133" t="str">
        <f t="shared" si="2"/>
        <v xml:space="preserve">N/A </v>
      </c>
      <c r="J38" s="133" t="str">
        <f t="shared" si="3"/>
        <v>N/A</v>
      </c>
      <c r="K38" s="12">
        <f t="shared" si="4"/>
        <v>1874999.25</v>
      </c>
      <c r="L38" s="2" t="str">
        <f t="shared" si="5"/>
        <v xml:space="preserve">N/A </v>
      </c>
    </row>
    <row r="39" spans="1:12" s="2" customFormat="1" ht="15.75" x14ac:dyDescent="0.5">
      <c r="A39" s="19">
        <v>4</v>
      </c>
      <c r="B39" s="32" t="s">
        <v>57</v>
      </c>
      <c r="C39" s="106">
        <v>98735335.014037475</v>
      </c>
      <c r="D39" s="33">
        <f t="shared" si="0"/>
        <v>4.2012881800210643E-2</v>
      </c>
      <c r="E39" s="27">
        <f>'9J 16-17 WAFM alloc'!O39</f>
        <v>71582912.182858378</v>
      </c>
      <c r="F39" s="27">
        <f>IF(C39&lt;'Hard and variable floor'!$B$44,'Hard and variable floor'!$G$44, IF(C39&lt;'Hard and variable floor'!$B$45,'Hard and variable floor'!$G$45, IF(C39&lt;'Hard and variable floor'!$B$46,'Hard and variable floor'!$G$46, IF(C39&lt;'Hard and variable floor'!$B$47,'Hard and variable floor'!$G$47, IF(C39&gt;'Hard and variable floor'!$B$48,'Hard and variable floor'!$G$48)))))</f>
        <v>1874999.25</v>
      </c>
      <c r="G39" s="109" t="str">
        <f t="shared" si="1"/>
        <v>N</v>
      </c>
      <c r="H39" s="27" t="s">
        <v>560</v>
      </c>
      <c r="I39" s="133" t="str">
        <f t="shared" si="2"/>
        <v xml:space="preserve">N/A </v>
      </c>
      <c r="J39" s="133" t="str">
        <f t="shared" si="3"/>
        <v>N/A</v>
      </c>
      <c r="K39" s="12">
        <f t="shared" si="4"/>
        <v>1874999.25</v>
      </c>
      <c r="L39" s="2" t="str">
        <f t="shared" si="5"/>
        <v xml:space="preserve">N/A </v>
      </c>
    </row>
    <row r="40" spans="1:12" s="2" customFormat="1" ht="15.75" x14ac:dyDescent="0.5">
      <c r="A40" s="19">
        <v>1</v>
      </c>
      <c r="B40" s="32" t="s">
        <v>16</v>
      </c>
      <c r="C40" s="106">
        <v>2742618.4793028603</v>
      </c>
      <c r="D40" s="33">
        <f t="shared" si="0"/>
        <v>1.1670118501916525E-3</v>
      </c>
      <c r="E40" s="27">
        <f>'9J 16-17 WAFM alloc'!O40</f>
        <v>2377876.276444369</v>
      </c>
      <c r="F40" s="27">
        <f>IF(C40&lt;'Hard and variable floor'!$B$44,'Hard and variable floor'!$G$44, IF(C40&lt;'Hard and variable floor'!$B$45,'Hard and variable floor'!$G$45, IF(C40&lt;'Hard and variable floor'!$B$46,'Hard and variable floor'!$G$46, IF(C40&lt;'Hard and variable floor'!$B$47,'Hard and variable floor'!$G$47, IF(C40&gt;'Hard and variable floor'!$B$48,'Hard and variable floor'!$G$48)))))</f>
        <v>1874999.25</v>
      </c>
      <c r="G40" s="109" t="str">
        <f t="shared" si="1"/>
        <v>N</v>
      </c>
      <c r="H40" s="27" t="s">
        <v>560</v>
      </c>
      <c r="I40" s="133" t="str">
        <f t="shared" si="2"/>
        <v xml:space="preserve">N/A </v>
      </c>
      <c r="J40" s="133" t="str">
        <f t="shared" si="3"/>
        <v>N/A</v>
      </c>
      <c r="K40" s="12">
        <f t="shared" si="4"/>
        <v>1874999.25</v>
      </c>
      <c r="L40" s="2" t="str">
        <f t="shared" si="5"/>
        <v xml:space="preserve">N/A </v>
      </c>
    </row>
    <row r="41" spans="1:12" s="2" customFormat="1" ht="15.75" x14ac:dyDescent="0.5">
      <c r="A41" s="19">
        <v>4</v>
      </c>
      <c r="B41" s="32" t="s">
        <v>58</v>
      </c>
      <c r="C41" s="106">
        <v>128763248.89794444</v>
      </c>
      <c r="D41" s="33">
        <f t="shared" si="0"/>
        <v>5.4790062295239375E-2</v>
      </c>
      <c r="E41" s="27">
        <f>'9J 16-17 WAFM alloc'!O41</f>
        <v>88400894.441451013</v>
      </c>
      <c r="F41" s="27">
        <f>IF(C41&lt;'Hard and variable floor'!$B$44,'Hard and variable floor'!$G$44, IF(C41&lt;'Hard and variable floor'!$B$45,'Hard and variable floor'!$G$45, IF(C41&lt;'Hard and variable floor'!$B$46,'Hard and variable floor'!$G$46, IF(C41&lt;'Hard and variable floor'!$B$47,'Hard and variable floor'!$G$47, IF(C41&gt;'Hard and variable floor'!$B$48,'Hard and variable floor'!$G$48)))))</f>
        <v>1874999.25</v>
      </c>
      <c r="G41" s="109" t="str">
        <f t="shared" si="1"/>
        <v>N</v>
      </c>
      <c r="H41" s="27" t="s">
        <v>560</v>
      </c>
      <c r="I41" s="133" t="str">
        <f t="shared" si="2"/>
        <v xml:space="preserve">N/A </v>
      </c>
      <c r="J41" s="133" t="str">
        <f t="shared" si="3"/>
        <v>N/A</v>
      </c>
      <c r="K41" s="12">
        <f t="shared" si="4"/>
        <v>1874999.25</v>
      </c>
      <c r="L41" s="2" t="str">
        <f t="shared" si="5"/>
        <v xml:space="preserve">N/A </v>
      </c>
    </row>
    <row r="42" spans="1:12" s="2" customFormat="1" ht="15.75" x14ac:dyDescent="0.5">
      <c r="A42" s="19">
        <v>4</v>
      </c>
      <c r="B42" s="32" t="s">
        <v>59</v>
      </c>
      <c r="C42" s="106">
        <v>162426581.60757881</v>
      </c>
      <c r="D42" s="33">
        <f t="shared" si="0"/>
        <v>6.911415020085046E-2</v>
      </c>
      <c r="E42" s="27">
        <f>'9J 16-17 WAFM alloc'!O42</f>
        <v>131004322.22166833</v>
      </c>
      <c r="F42" s="27">
        <f>IF(C42&lt;'Hard and variable floor'!$B$44,'Hard and variable floor'!$G$44, IF(C42&lt;'Hard and variable floor'!$B$45,'Hard and variable floor'!$G$45, IF(C42&lt;'Hard and variable floor'!$B$46,'Hard and variable floor'!$G$46, IF(C42&lt;'Hard and variable floor'!$B$47,'Hard and variable floor'!$G$47, IF(C42&gt;'Hard and variable floor'!$B$48,'Hard and variable floor'!$G$48)))))</f>
        <v>1874999.25</v>
      </c>
      <c r="G42" s="109" t="str">
        <f t="shared" si="1"/>
        <v>N</v>
      </c>
      <c r="H42" s="27" t="s">
        <v>560</v>
      </c>
      <c r="I42" s="133" t="str">
        <f t="shared" si="2"/>
        <v xml:space="preserve">N/A </v>
      </c>
      <c r="J42" s="133" t="str">
        <f t="shared" si="3"/>
        <v>N/A</v>
      </c>
      <c r="K42" s="12">
        <f t="shared" si="4"/>
        <v>1874999.25</v>
      </c>
      <c r="L42" s="2" t="str">
        <f t="shared" si="5"/>
        <v xml:space="preserve">N/A </v>
      </c>
    </row>
    <row r="43" spans="1:12" s="2" customFormat="1" ht="15.75" x14ac:dyDescent="0.5">
      <c r="A43" s="19">
        <v>4</v>
      </c>
      <c r="B43" s="32" t="s">
        <v>60</v>
      </c>
      <c r="C43" s="106">
        <v>67359434.615215853</v>
      </c>
      <c r="D43" s="33">
        <f t="shared" si="0"/>
        <v>2.8662119434908859E-2</v>
      </c>
      <c r="E43" s="27">
        <f>'9J 16-17 WAFM alloc'!O43</f>
        <v>56689450.935373209</v>
      </c>
      <c r="F43" s="27">
        <f>IF(C43&lt;'Hard and variable floor'!$B$44,'Hard and variable floor'!$G$44, IF(C43&lt;'Hard and variable floor'!$B$45,'Hard and variable floor'!$G$45, IF(C43&lt;'Hard and variable floor'!$B$46,'Hard and variable floor'!$G$46, IF(C43&lt;'Hard and variable floor'!$B$47,'Hard and variable floor'!$G$47, IF(C43&gt;'Hard and variable floor'!$B$48,'Hard and variable floor'!$G$48)))))</f>
        <v>1874999.25</v>
      </c>
      <c r="G43" s="109" t="str">
        <f t="shared" si="1"/>
        <v>N</v>
      </c>
      <c r="H43" s="27" t="s">
        <v>560</v>
      </c>
      <c r="I43" s="133" t="str">
        <f t="shared" si="2"/>
        <v xml:space="preserve">N/A </v>
      </c>
      <c r="J43" s="133" t="str">
        <f t="shared" si="3"/>
        <v>N/A</v>
      </c>
      <c r="K43" s="12">
        <f t="shared" si="4"/>
        <v>1874999.25</v>
      </c>
      <c r="L43" s="2" t="str">
        <f t="shared" si="5"/>
        <v xml:space="preserve">N/A </v>
      </c>
    </row>
    <row r="44" spans="1:12" s="2" customFormat="1" ht="15.75" x14ac:dyDescent="0.5">
      <c r="A44" s="19">
        <v>3</v>
      </c>
      <c r="B44" s="32" t="s">
        <v>45</v>
      </c>
      <c r="C44" s="106">
        <v>46453108.410780877</v>
      </c>
      <c r="D44" s="33">
        <f t="shared" si="0"/>
        <v>1.9766266581635026E-2</v>
      </c>
      <c r="E44" s="27">
        <f>'9J 16-17 WAFM alloc'!O44</f>
        <v>32167556.32934605</v>
      </c>
      <c r="F44" s="27">
        <f>IF(C44&lt;'Hard and variable floor'!$B$44,'Hard and variable floor'!$G$44, IF(C44&lt;'Hard and variable floor'!$B$45,'Hard and variable floor'!$G$45, IF(C44&lt;'Hard and variable floor'!$B$46,'Hard and variable floor'!$G$46, IF(C44&lt;'Hard and variable floor'!$B$47,'Hard and variable floor'!$G$47, IF(C44&gt;'Hard and variable floor'!$B$48,'Hard and variable floor'!$G$48)))))</f>
        <v>1874999.25</v>
      </c>
      <c r="G44" s="109" t="str">
        <f t="shared" si="1"/>
        <v>N</v>
      </c>
      <c r="H44" s="27" t="s">
        <v>560</v>
      </c>
      <c r="I44" s="133" t="str">
        <f t="shared" si="2"/>
        <v xml:space="preserve">N/A </v>
      </c>
      <c r="J44" s="133" t="str">
        <f t="shared" si="3"/>
        <v>N/A</v>
      </c>
      <c r="K44" s="12">
        <f t="shared" si="4"/>
        <v>1874999.25</v>
      </c>
      <c r="L44" s="2" t="str">
        <f t="shared" si="5"/>
        <v xml:space="preserve">N/A </v>
      </c>
    </row>
    <row r="45" spans="1:12" s="2" customFormat="1" ht="15.75" x14ac:dyDescent="0.5">
      <c r="A45" s="19">
        <v>2</v>
      </c>
      <c r="B45" s="32" t="s">
        <v>32</v>
      </c>
      <c r="C45" s="106">
        <v>17268591.644737024</v>
      </c>
      <c r="D45" s="33">
        <f t="shared" si="0"/>
        <v>7.3479600745092405E-3</v>
      </c>
      <c r="E45" s="27">
        <f>'9J 16-17 WAFM alloc'!O45</f>
        <v>12529229.186897645</v>
      </c>
      <c r="F45" s="27">
        <f>IF(C45&lt;'Hard and variable floor'!$B$44,'Hard and variable floor'!$G$44, IF(C45&lt;'Hard and variable floor'!$B$45,'Hard and variable floor'!$G$45, IF(C45&lt;'Hard and variable floor'!$B$46,'Hard and variable floor'!$G$46, IF(C45&lt;'Hard and variable floor'!$B$47,'Hard and variable floor'!$G$47, IF(C45&gt;'Hard and variable floor'!$B$48,'Hard and variable floor'!$G$48)))))</f>
        <v>1874999.25</v>
      </c>
      <c r="G45" s="109" t="str">
        <f t="shared" si="1"/>
        <v>N</v>
      </c>
      <c r="H45" s="27" t="s">
        <v>560</v>
      </c>
      <c r="I45" s="133" t="str">
        <f t="shared" si="2"/>
        <v xml:space="preserve">N/A </v>
      </c>
      <c r="J45" s="133" t="str">
        <f t="shared" si="3"/>
        <v>N/A</v>
      </c>
      <c r="K45" s="12">
        <f t="shared" si="4"/>
        <v>1874999.25</v>
      </c>
      <c r="L45" s="2" t="str">
        <f t="shared" si="5"/>
        <v xml:space="preserve">N/A </v>
      </c>
    </row>
    <row r="46" spans="1:12" s="2" customFormat="1" ht="15.75" x14ac:dyDescent="0.5">
      <c r="A46" s="19">
        <v>3</v>
      </c>
      <c r="B46" s="32" t="s">
        <v>46</v>
      </c>
      <c r="C46" s="106">
        <v>42198583.016261883</v>
      </c>
      <c r="D46" s="33">
        <f t="shared" si="0"/>
        <v>1.7955923076034844E-2</v>
      </c>
      <c r="E46" s="27">
        <f>'9J 16-17 WAFM alloc'!O46</f>
        <v>33168508.691002432</v>
      </c>
      <c r="F46" s="27">
        <f>IF(C46&lt;'Hard and variable floor'!$B$44,'Hard and variable floor'!$G$44, IF(C46&lt;'Hard and variable floor'!$B$45,'Hard and variable floor'!$G$45, IF(C46&lt;'Hard and variable floor'!$B$46,'Hard and variable floor'!$G$46, IF(C46&lt;'Hard and variable floor'!$B$47,'Hard and variable floor'!$G$47, IF(C46&gt;'Hard and variable floor'!$B$48,'Hard and variable floor'!$G$48)))))</f>
        <v>1874999.25</v>
      </c>
      <c r="G46" s="109" t="str">
        <f t="shared" si="1"/>
        <v>N</v>
      </c>
      <c r="H46" s="27" t="s">
        <v>560</v>
      </c>
      <c r="I46" s="133" t="str">
        <f t="shared" si="2"/>
        <v xml:space="preserve">N/A </v>
      </c>
      <c r="J46" s="133" t="str">
        <f t="shared" si="3"/>
        <v>N/A</v>
      </c>
      <c r="K46" s="12">
        <f t="shared" si="4"/>
        <v>1874999.25</v>
      </c>
      <c r="L46" s="2" t="str">
        <f t="shared" si="5"/>
        <v xml:space="preserve">N/A </v>
      </c>
    </row>
    <row r="47" spans="1:12" s="2" customFormat="1" ht="15.75" x14ac:dyDescent="0.5">
      <c r="A47" s="19">
        <v>3</v>
      </c>
      <c r="B47" s="32" t="s">
        <v>47</v>
      </c>
      <c r="C47" s="106">
        <v>26429842.864841968</v>
      </c>
      <c r="D47" s="33">
        <f t="shared" si="0"/>
        <v>1.1246164953214352E-2</v>
      </c>
      <c r="E47" s="27">
        <f>'9J 16-17 WAFM alloc'!O47</f>
        <v>20159350.441373572</v>
      </c>
      <c r="F47" s="27">
        <f>IF(C47&lt;'Hard and variable floor'!$B$44,'Hard and variable floor'!$G$44, IF(C47&lt;'Hard and variable floor'!$B$45,'Hard and variable floor'!$G$45, IF(C47&lt;'Hard and variable floor'!$B$46,'Hard and variable floor'!$G$46, IF(C47&lt;'Hard and variable floor'!$B$47,'Hard and variable floor'!$G$47, IF(C47&gt;'Hard and variable floor'!$B$48,'Hard and variable floor'!$G$48)))))</f>
        <v>1874999.25</v>
      </c>
      <c r="G47" s="109" t="str">
        <f t="shared" si="1"/>
        <v>N</v>
      </c>
      <c r="H47" s="27" t="s">
        <v>560</v>
      </c>
      <c r="I47" s="133" t="str">
        <f t="shared" si="2"/>
        <v xml:space="preserve">N/A </v>
      </c>
      <c r="J47" s="133" t="str">
        <f t="shared" si="3"/>
        <v>N/A</v>
      </c>
      <c r="K47" s="12">
        <f t="shared" si="4"/>
        <v>1874999.25</v>
      </c>
      <c r="L47" s="2" t="str">
        <f t="shared" si="5"/>
        <v xml:space="preserve">N/A </v>
      </c>
    </row>
    <row r="48" spans="1:12" s="2" customFormat="1" ht="15.75" x14ac:dyDescent="0.5">
      <c r="A48" s="19">
        <v>4</v>
      </c>
      <c r="B48" s="32" t="s">
        <v>61</v>
      </c>
      <c r="C48" s="106">
        <v>89140315.473937273</v>
      </c>
      <c r="D48" s="33">
        <f t="shared" si="0"/>
        <v>3.7930104122374943E-2</v>
      </c>
      <c r="E48" s="27">
        <f>'9J 16-17 WAFM alloc'!O48</f>
        <v>74402032.426117092</v>
      </c>
      <c r="F48" s="27">
        <f>IF(C48&lt;'Hard and variable floor'!$B$44,'Hard and variable floor'!$G$44, IF(C48&lt;'Hard and variable floor'!$B$45,'Hard and variable floor'!$G$45, IF(C48&lt;'Hard and variable floor'!$B$46,'Hard and variable floor'!$G$46, IF(C48&lt;'Hard and variable floor'!$B$47,'Hard and variable floor'!$G$47, IF(C48&gt;'Hard and variable floor'!$B$48,'Hard and variable floor'!$G$48)))))</f>
        <v>1874999.25</v>
      </c>
      <c r="G48" s="109" t="str">
        <f t="shared" si="1"/>
        <v>N</v>
      </c>
      <c r="H48" s="27" t="s">
        <v>560</v>
      </c>
      <c r="I48" s="133" t="str">
        <f t="shared" si="2"/>
        <v xml:space="preserve">N/A </v>
      </c>
      <c r="J48" s="133" t="str">
        <f t="shared" si="3"/>
        <v>N/A</v>
      </c>
      <c r="K48" s="12">
        <f t="shared" si="4"/>
        <v>1874999.25</v>
      </c>
      <c r="L48" s="2" t="str">
        <f t="shared" si="5"/>
        <v xml:space="preserve">N/A </v>
      </c>
    </row>
    <row r="49" spans="1:12" s="2" customFormat="1" ht="15.75" x14ac:dyDescent="0.5">
      <c r="A49" s="19">
        <v>2</v>
      </c>
      <c r="B49" s="32" t="s">
        <v>33</v>
      </c>
      <c r="C49" s="106">
        <v>15460851.402267259</v>
      </c>
      <c r="D49" s="33">
        <f t="shared" si="0"/>
        <v>6.5787483518613297E-3</v>
      </c>
      <c r="E49" s="27">
        <f>'9J 16-17 WAFM alloc'!O49</f>
        <v>11285952.506726056</v>
      </c>
      <c r="F49" s="27">
        <f>IF(C49&lt;'Hard and variable floor'!$B$44,'Hard and variable floor'!$G$44, IF(C49&lt;'Hard and variable floor'!$B$45,'Hard and variable floor'!$G$45, IF(C49&lt;'Hard and variable floor'!$B$46,'Hard and variable floor'!$G$46, IF(C49&lt;'Hard and variable floor'!$B$47,'Hard and variable floor'!$G$47, IF(C49&gt;'Hard and variable floor'!$B$48,'Hard and variable floor'!$G$48)))))</f>
        <v>1874999.25</v>
      </c>
      <c r="G49" s="109" t="str">
        <f t="shared" si="1"/>
        <v>N</v>
      </c>
      <c r="H49" s="27" t="s">
        <v>560</v>
      </c>
      <c r="I49" s="133" t="str">
        <f t="shared" si="2"/>
        <v xml:space="preserve">N/A </v>
      </c>
      <c r="J49" s="133" t="str">
        <f t="shared" si="3"/>
        <v>N/A</v>
      </c>
      <c r="K49" s="12">
        <f t="shared" si="4"/>
        <v>1874999.25</v>
      </c>
      <c r="L49" s="2" t="str">
        <f t="shared" si="5"/>
        <v xml:space="preserve">N/A </v>
      </c>
    </row>
    <row r="50" spans="1:12" s="2" customFormat="1" ht="15.75" x14ac:dyDescent="0.5">
      <c r="A50" s="19">
        <v>2</v>
      </c>
      <c r="B50" s="32" t="s">
        <v>34</v>
      </c>
      <c r="C50" s="106">
        <v>13224651.030693024</v>
      </c>
      <c r="D50" s="33">
        <f t="shared" si="0"/>
        <v>5.6272225188940496E-3</v>
      </c>
      <c r="E50" s="27">
        <f>'9J 16-17 WAFM alloc'!O50</f>
        <v>9824909.6499454584</v>
      </c>
      <c r="F50" s="27">
        <f>IF(C50&lt;'Hard and variable floor'!$B$44,'Hard and variable floor'!$G$44, IF(C50&lt;'Hard and variable floor'!$B$45,'Hard and variable floor'!$G$45, IF(C50&lt;'Hard and variable floor'!$B$46,'Hard and variable floor'!$G$46, IF(C50&lt;'Hard and variable floor'!$B$47,'Hard and variable floor'!$G$47, IF(C50&gt;'Hard and variable floor'!$B$48,'Hard and variable floor'!$G$48)))))</f>
        <v>1874999.25</v>
      </c>
      <c r="G50" s="109" t="str">
        <f t="shared" si="1"/>
        <v>N</v>
      </c>
      <c r="H50" s="27" t="s">
        <v>560</v>
      </c>
      <c r="I50" s="133" t="str">
        <f t="shared" si="2"/>
        <v xml:space="preserve">N/A </v>
      </c>
      <c r="J50" s="133" t="str">
        <f t="shared" si="3"/>
        <v>N/A</v>
      </c>
      <c r="K50" s="12">
        <f t="shared" si="4"/>
        <v>1874999.25</v>
      </c>
      <c r="L50" s="2" t="str">
        <f t="shared" si="5"/>
        <v xml:space="preserve">N/A </v>
      </c>
    </row>
    <row r="51" spans="1:12" s="2" customFormat="1" ht="15.75" x14ac:dyDescent="0.5">
      <c r="A51" s="19">
        <v>1</v>
      </c>
      <c r="B51" s="32" t="s">
        <v>17</v>
      </c>
      <c r="C51" s="106">
        <v>350609.1997698507</v>
      </c>
      <c r="D51" s="33">
        <f t="shared" si="0"/>
        <v>1.4918775396774577E-4</v>
      </c>
      <c r="E51" s="27">
        <f>'9J 16-17 WAFM alloc'!O51</f>
        <v>721629.89393614954</v>
      </c>
      <c r="F51" s="27">
        <f>IF(C51&lt;'Hard and variable floor'!$B$44,'Hard and variable floor'!$G$44, IF(C51&lt;'Hard and variable floor'!$B$45,'Hard and variable floor'!$G$45, IF(C51&lt;'Hard and variable floor'!$B$46,'Hard and variable floor'!$G$46, IF(C51&lt;'Hard and variable floor'!$B$47,'Hard and variable floor'!$G$47, IF(C51&gt;'Hard and variable floor'!$B$48,'Hard and variable floor'!$G$48)))))</f>
        <v>750000</v>
      </c>
      <c r="G51" s="109" t="str">
        <f t="shared" si="1"/>
        <v>Y</v>
      </c>
      <c r="H51" s="27">
        <v>825000.00000000012</v>
      </c>
      <c r="I51" s="27">
        <f t="shared" si="2"/>
        <v>721629.89393614954</v>
      </c>
      <c r="J51" s="133">
        <f t="shared" si="3"/>
        <v>750000</v>
      </c>
      <c r="K51" s="12">
        <f t="shared" si="4"/>
        <v>750000</v>
      </c>
      <c r="L51" s="12">
        <f t="shared" si="5"/>
        <v>750000</v>
      </c>
    </row>
    <row r="52" spans="1:12" s="2" customFormat="1" ht="15.75" x14ac:dyDescent="0.5">
      <c r="A52" s="19">
        <v>2</v>
      </c>
      <c r="B52" s="32" t="s">
        <v>35</v>
      </c>
      <c r="C52" s="106">
        <v>2991415.2271279641</v>
      </c>
      <c r="D52" s="33">
        <f t="shared" si="0"/>
        <v>1.2728773780410977E-3</v>
      </c>
      <c r="E52" s="27">
        <f>'9J 16-17 WAFM alloc'!O52</f>
        <v>2901425.5696272422</v>
      </c>
      <c r="F52" s="27">
        <f>IF(C52&lt;'Hard and variable floor'!$B$44,'Hard and variable floor'!$G$44, IF(C52&lt;'Hard and variable floor'!$B$45,'Hard and variable floor'!$G$45, IF(C52&lt;'Hard and variable floor'!$B$46,'Hard and variable floor'!$G$46, IF(C52&lt;'Hard and variable floor'!$B$47,'Hard and variable floor'!$G$47, IF(C52&gt;'Hard and variable floor'!$B$48,'Hard and variable floor'!$G$48)))))</f>
        <v>1874999.25</v>
      </c>
      <c r="G52" s="109" t="str">
        <f t="shared" si="1"/>
        <v>N</v>
      </c>
      <c r="H52" s="27" t="s">
        <v>560</v>
      </c>
      <c r="I52" s="133" t="str">
        <f t="shared" si="2"/>
        <v xml:space="preserve">N/A </v>
      </c>
      <c r="J52" s="133" t="str">
        <f t="shared" si="3"/>
        <v>N/A</v>
      </c>
      <c r="K52" s="12">
        <f t="shared" si="4"/>
        <v>1874999.25</v>
      </c>
      <c r="L52" s="2" t="str">
        <f t="shared" si="5"/>
        <v xml:space="preserve">N/A </v>
      </c>
    </row>
    <row r="53" spans="1:12" s="2" customFormat="1" ht="15.75" x14ac:dyDescent="0.5">
      <c r="A53" s="19">
        <v>3</v>
      </c>
      <c r="B53" s="32" t="s">
        <v>48</v>
      </c>
      <c r="C53" s="106">
        <v>26100828.122745432</v>
      </c>
      <c r="D53" s="33">
        <f t="shared" si="0"/>
        <v>1.1106165858986704E-2</v>
      </c>
      <c r="E53" s="27">
        <f>'9J 16-17 WAFM alloc'!O53</f>
        <v>19376109.202687576</v>
      </c>
      <c r="F53" s="27">
        <f>IF(C53&lt;'Hard and variable floor'!$B$44,'Hard and variable floor'!$G$44, IF(C53&lt;'Hard and variable floor'!$B$45,'Hard and variable floor'!$G$45, IF(C53&lt;'Hard and variable floor'!$B$46,'Hard and variable floor'!$G$46, IF(C53&lt;'Hard and variable floor'!$B$47,'Hard and variable floor'!$G$47, IF(C53&gt;'Hard and variable floor'!$B$48,'Hard and variable floor'!$G$48)))))</f>
        <v>1874999.25</v>
      </c>
      <c r="G53" s="109" t="str">
        <f t="shared" si="1"/>
        <v>N</v>
      </c>
      <c r="H53" s="27" t="s">
        <v>560</v>
      </c>
      <c r="I53" s="133" t="str">
        <f t="shared" si="2"/>
        <v xml:space="preserve">N/A </v>
      </c>
      <c r="J53" s="133" t="str">
        <f t="shared" si="3"/>
        <v>N/A</v>
      </c>
      <c r="K53" s="12">
        <f t="shared" si="4"/>
        <v>1874999.25</v>
      </c>
      <c r="L53" s="2" t="str">
        <f t="shared" si="5"/>
        <v xml:space="preserve">N/A </v>
      </c>
    </row>
    <row r="54" spans="1:12" s="2" customFormat="1" ht="15.75" x14ac:dyDescent="0.5">
      <c r="A54" s="19">
        <v>3</v>
      </c>
      <c r="B54" s="32" t="s">
        <v>49</v>
      </c>
      <c r="C54" s="106">
        <v>29031342.880036999</v>
      </c>
      <c r="D54" s="33">
        <f t="shared" si="0"/>
        <v>1.2353129472310743E-2</v>
      </c>
      <c r="E54" s="27">
        <f>'9J 16-17 WAFM alloc'!O54</f>
        <v>22269968.463906072</v>
      </c>
      <c r="F54" s="27">
        <f>IF(C54&lt;'Hard and variable floor'!$B$44,'Hard and variable floor'!$G$44, IF(C54&lt;'Hard and variable floor'!$B$45,'Hard and variable floor'!$G$45, IF(C54&lt;'Hard and variable floor'!$B$46,'Hard and variable floor'!$G$46, IF(C54&lt;'Hard and variable floor'!$B$47,'Hard and variable floor'!$G$47, IF(C54&gt;'Hard and variable floor'!$B$48,'Hard and variable floor'!$G$48)))))</f>
        <v>1874999.25</v>
      </c>
      <c r="G54" s="109" t="str">
        <f t="shared" si="1"/>
        <v>N</v>
      </c>
      <c r="H54" s="27" t="s">
        <v>560</v>
      </c>
      <c r="I54" s="133" t="str">
        <f t="shared" si="2"/>
        <v xml:space="preserve">N/A </v>
      </c>
      <c r="J54" s="133" t="str">
        <f t="shared" si="3"/>
        <v>N/A</v>
      </c>
      <c r="K54" s="12">
        <f t="shared" si="4"/>
        <v>1874999.25</v>
      </c>
      <c r="L54" s="2" t="str">
        <f t="shared" si="5"/>
        <v xml:space="preserve">N/A </v>
      </c>
    </row>
    <row r="55" spans="1:12" s="2" customFormat="1" ht="15.75" x14ac:dyDescent="0.5">
      <c r="A55" s="19">
        <v>3</v>
      </c>
      <c r="B55" s="32" t="s">
        <v>50</v>
      </c>
      <c r="C55" s="106">
        <v>31329379.831801441</v>
      </c>
      <c r="D55" s="33">
        <f t="shared" si="0"/>
        <v>1.3330967394400838E-2</v>
      </c>
      <c r="E55" s="27">
        <f>'9J 16-17 WAFM alloc'!O55</f>
        <v>20654344.806373693</v>
      </c>
      <c r="F55" s="27">
        <f>IF(C55&lt;'Hard and variable floor'!$B$44,'Hard and variable floor'!$G$44, IF(C55&lt;'Hard and variable floor'!$B$45,'Hard and variable floor'!$G$45, IF(C55&lt;'Hard and variable floor'!$B$46,'Hard and variable floor'!$G$46, IF(C55&lt;'Hard and variable floor'!$B$47,'Hard and variable floor'!$G$47, IF(C55&gt;'Hard and variable floor'!$B$48,'Hard and variable floor'!$G$48)))))</f>
        <v>1874999.25</v>
      </c>
      <c r="G55" s="109" t="str">
        <f t="shared" si="1"/>
        <v>N</v>
      </c>
      <c r="H55" s="27" t="s">
        <v>560</v>
      </c>
      <c r="I55" s="133" t="str">
        <f t="shared" si="2"/>
        <v xml:space="preserve">N/A </v>
      </c>
      <c r="J55" s="133" t="str">
        <f t="shared" si="3"/>
        <v>N/A</v>
      </c>
      <c r="K55" s="12">
        <f t="shared" si="4"/>
        <v>1874999.25</v>
      </c>
      <c r="L55" s="2" t="str">
        <f t="shared" si="5"/>
        <v xml:space="preserve">N/A </v>
      </c>
    </row>
    <row r="56" spans="1:12" s="2" customFormat="1" ht="15.75" x14ac:dyDescent="0.5">
      <c r="A56" s="19">
        <v>2</v>
      </c>
      <c r="B56" s="32" t="s">
        <v>36</v>
      </c>
      <c r="C56" s="106">
        <v>6790525.1432320569</v>
      </c>
      <c r="D56" s="33">
        <f t="shared" si="0"/>
        <v>2.8894370000710125E-3</v>
      </c>
      <c r="E56" s="27">
        <f>'9J 16-17 WAFM alloc'!O56</f>
        <v>4646162.5769185796</v>
      </c>
      <c r="F56" s="27">
        <f>IF(C56&lt;'Hard and variable floor'!$B$44,'Hard and variable floor'!$G$44, IF(C56&lt;'Hard and variable floor'!$B$45,'Hard and variable floor'!$G$45, IF(C56&lt;'Hard and variable floor'!$B$46,'Hard and variable floor'!$G$46, IF(C56&lt;'Hard and variable floor'!$B$47,'Hard and variable floor'!$G$47, IF(C56&gt;'Hard and variable floor'!$B$48,'Hard and variable floor'!$G$48)))))</f>
        <v>1874999.25</v>
      </c>
      <c r="G56" s="109" t="str">
        <f t="shared" si="1"/>
        <v>N</v>
      </c>
      <c r="H56" s="27" t="s">
        <v>560</v>
      </c>
      <c r="I56" s="133" t="str">
        <f t="shared" si="2"/>
        <v xml:space="preserve">N/A </v>
      </c>
      <c r="J56" s="133" t="str">
        <f t="shared" si="3"/>
        <v>N/A</v>
      </c>
      <c r="K56" s="12">
        <f t="shared" si="4"/>
        <v>1874999.25</v>
      </c>
      <c r="L56" s="2" t="str">
        <f t="shared" si="5"/>
        <v xml:space="preserve">N/A </v>
      </c>
    </row>
    <row r="57" spans="1:12" s="2" customFormat="1" ht="15.75" x14ac:dyDescent="0.5">
      <c r="A57" s="19">
        <v>2</v>
      </c>
      <c r="B57" s="32" t="s">
        <v>37</v>
      </c>
      <c r="C57" s="106">
        <v>5229016.4911851725</v>
      </c>
      <c r="D57" s="33">
        <f t="shared" si="0"/>
        <v>2.2249993049021552E-3</v>
      </c>
      <c r="E57" s="27">
        <f>'9J 16-17 WAFM alloc'!O57</f>
        <v>3738288.1606522701</v>
      </c>
      <c r="F57" s="27">
        <f>IF(C57&lt;'Hard and variable floor'!$B$44,'Hard and variable floor'!$G$44, IF(C57&lt;'Hard and variable floor'!$B$45,'Hard and variable floor'!$G$45, IF(C57&lt;'Hard and variable floor'!$B$46,'Hard and variable floor'!$G$46, IF(C57&lt;'Hard and variable floor'!$B$47,'Hard and variable floor'!$G$47, IF(C57&gt;'Hard and variable floor'!$B$48,'Hard and variable floor'!$G$48)))))</f>
        <v>1874999.25</v>
      </c>
      <c r="G57" s="109" t="str">
        <f t="shared" si="1"/>
        <v>N</v>
      </c>
      <c r="H57" s="27" t="s">
        <v>560</v>
      </c>
      <c r="I57" s="133" t="str">
        <f t="shared" si="2"/>
        <v xml:space="preserve">N/A </v>
      </c>
      <c r="J57" s="133" t="str">
        <f t="shared" si="3"/>
        <v>N/A</v>
      </c>
      <c r="K57" s="12">
        <f t="shared" si="4"/>
        <v>1874999.25</v>
      </c>
      <c r="L57" s="2" t="str">
        <f t="shared" si="5"/>
        <v xml:space="preserve">N/A </v>
      </c>
    </row>
    <row r="58" spans="1:12" s="2" customFormat="1" ht="15.75" x14ac:dyDescent="0.5">
      <c r="A58" s="19">
        <v>1</v>
      </c>
      <c r="B58" s="32" t="s">
        <v>18</v>
      </c>
      <c r="C58" s="106">
        <v>1452013.6694106681</v>
      </c>
      <c r="D58" s="33">
        <f t="shared" si="0"/>
        <v>6.1784647468474704E-4</v>
      </c>
      <c r="E58" s="27">
        <f>'9J 16-17 WAFM alloc'!O58</f>
        <v>1328834.4712972513</v>
      </c>
      <c r="F58" s="27">
        <f>IF(C58&lt;'Hard and variable floor'!$B$44,'Hard and variable floor'!$G$44, IF(C58&lt;'Hard and variable floor'!$B$45,'Hard and variable floor'!$G$45, IF(C58&lt;'Hard and variable floor'!$B$46,'Hard and variable floor'!$G$46, IF(C58&lt;'Hard and variable floor'!$B$47,'Hard and variable floor'!$G$47, IF(C58&gt;'Hard and variable floor'!$B$48,'Hard and variable floor'!$G$48)))))</f>
        <v>1249999.5</v>
      </c>
      <c r="G58" s="109" t="str">
        <f t="shared" si="1"/>
        <v>N</v>
      </c>
      <c r="H58" s="27" t="s">
        <v>560</v>
      </c>
      <c r="I58" s="27" t="str">
        <f t="shared" si="2"/>
        <v xml:space="preserve">N/A </v>
      </c>
      <c r="J58" s="133" t="str">
        <f t="shared" si="3"/>
        <v>N/A</v>
      </c>
      <c r="K58" s="12">
        <f t="shared" si="4"/>
        <v>1249999.5</v>
      </c>
      <c r="L58" s="12" t="str">
        <f t="shared" si="5"/>
        <v xml:space="preserve">N/A </v>
      </c>
    </row>
    <row r="59" spans="1:12" s="2" customFormat="1" ht="15.75" x14ac:dyDescent="0.5">
      <c r="A59" s="19">
        <v>3</v>
      </c>
      <c r="B59" s="32" t="s">
        <v>51</v>
      </c>
      <c r="C59" s="106">
        <v>24340689.881954104</v>
      </c>
      <c r="D59" s="33">
        <f t="shared" si="0"/>
        <v>1.035720926860411E-2</v>
      </c>
      <c r="E59" s="27">
        <f>'9J 16-17 WAFM alloc'!O59</f>
        <v>17000073.24134827</v>
      </c>
      <c r="F59" s="27">
        <f>IF(C59&lt;'Hard and variable floor'!$B$44,'Hard and variable floor'!$G$44, IF(C59&lt;'Hard and variable floor'!$B$45,'Hard and variable floor'!$G$45, IF(C59&lt;'Hard and variable floor'!$B$46,'Hard and variable floor'!$G$46, IF(C59&lt;'Hard and variable floor'!$B$47,'Hard and variable floor'!$G$47, IF(C59&gt;'Hard and variable floor'!$B$48,'Hard and variable floor'!$G$48)))))</f>
        <v>1874999.25</v>
      </c>
      <c r="G59" s="109" t="str">
        <f t="shared" si="1"/>
        <v>N</v>
      </c>
      <c r="H59" s="27" t="s">
        <v>560</v>
      </c>
      <c r="I59" s="133" t="str">
        <f t="shared" si="2"/>
        <v xml:space="preserve">N/A </v>
      </c>
      <c r="J59" s="133" t="str">
        <f t="shared" si="3"/>
        <v>N/A</v>
      </c>
      <c r="K59" s="12">
        <f t="shared" si="4"/>
        <v>1874999.25</v>
      </c>
      <c r="L59" s="2" t="str">
        <f t="shared" si="5"/>
        <v xml:space="preserve">N/A </v>
      </c>
    </row>
    <row r="60" spans="1:12" s="2" customFormat="1" ht="15.75" x14ac:dyDescent="0.5">
      <c r="A60" s="19">
        <v>2</v>
      </c>
      <c r="B60" s="32" t="s">
        <v>38</v>
      </c>
      <c r="C60" s="106">
        <v>3628226.7352111787</v>
      </c>
      <c r="D60" s="33">
        <f t="shared" si="0"/>
        <v>1.543847103462197E-3</v>
      </c>
      <c r="E60" s="27">
        <f>'9J 16-17 WAFM alloc'!O60</f>
        <v>2867045.5718103624</v>
      </c>
      <c r="F60" s="27">
        <f>IF(C60&lt;'Hard and variable floor'!$B$44,'Hard and variable floor'!$G$44, IF(C60&lt;'Hard and variable floor'!$B$45,'Hard and variable floor'!$G$45, IF(C60&lt;'Hard and variable floor'!$B$46,'Hard and variable floor'!$G$46, IF(C60&lt;'Hard and variable floor'!$B$47,'Hard and variable floor'!$G$47, IF(C60&gt;'Hard and variable floor'!$B$48,'Hard and variable floor'!$G$48)))))</f>
        <v>1874999.25</v>
      </c>
      <c r="G60" s="109" t="str">
        <f t="shared" si="1"/>
        <v>N</v>
      </c>
      <c r="H60" s="27" t="s">
        <v>560</v>
      </c>
      <c r="I60" s="133" t="str">
        <f t="shared" si="2"/>
        <v xml:space="preserve">N/A </v>
      </c>
      <c r="J60" s="133" t="str">
        <f t="shared" si="3"/>
        <v>N/A</v>
      </c>
      <c r="K60" s="12">
        <f t="shared" si="4"/>
        <v>1874999.25</v>
      </c>
      <c r="L60" s="2" t="str">
        <f t="shared" si="5"/>
        <v xml:space="preserve">N/A </v>
      </c>
    </row>
    <row r="61" spans="1:12" s="2" customFormat="1" ht="15.75" x14ac:dyDescent="0.5">
      <c r="A61" s="19">
        <v>3</v>
      </c>
      <c r="B61" s="32" t="s">
        <v>52</v>
      </c>
      <c r="C61" s="106">
        <v>45542069.122236118</v>
      </c>
      <c r="D61" s="33">
        <f t="shared" si="0"/>
        <v>1.9378610167246631E-2</v>
      </c>
      <c r="E61" s="27">
        <f>'9J 16-17 WAFM alloc'!O61</f>
        <v>32081744.640386559</v>
      </c>
      <c r="F61" s="27">
        <f>IF(C61&lt;'Hard and variable floor'!$B$44,'Hard and variable floor'!$G$44, IF(C61&lt;'Hard and variable floor'!$B$45,'Hard and variable floor'!$G$45, IF(C61&lt;'Hard and variable floor'!$B$46,'Hard and variable floor'!$G$46, IF(C61&lt;'Hard and variable floor'!$B$47,'Hard and variable floor'!$G$47, IF(C61&gt;'Hard and variable floor'!$B$48,'Hard and variable floor'!$G$48)))))</f>
        <v>1874999.25</v>
      </c>
      <c r="G61" s="109" t="str">
        <f t="shared" si="1"/>
        <v>N</v>
      </c>
      <c r="H61" s="27" t="s">
        <v>560</v>
      </c>
      <c r="I61" s="133" t="str">
        <f t="shared" si="2"/>
        <v xml:space="preserve">N/A </v>
      </c>
      <c r="J61" s="133" t="str">
        <f t="shared" si="3"/>
        <v>N/A</v>
      </c>
      <c r="K61" s="12">
        <f t="shared" si="4"/>
        <v>1874999.25</v>
      </c>
      <c r="L61" s="2" t="str">
        <f t="shared" si="5"/>
        <v xml:space="preserve">N/A </v>
      </c>
    </row>
    <row r="62" spans="1:12" s="2" customFormat="1" ht="15.75" x14ac:dyDescent="0.5">
      <c r="A62" s="19">
        <v>2</v>
      </c>
      <c r="B62" s="32" t="s">
        <v>39</v>
      </c>
      <c r="C62" s="106">
        <v>11850964.111568911</v>
      </c>
      <c r="D62" s="33">
        <f t="shared" si="0"/>
        <v>5.0427048671794761E-3</v>
      </c>
      <c r="E62" s="27">
        <f>'9J 16-17 WAFM alloc'!O62</f>
        <v>8393536.7146121636</v>
      </c>
      <c r="F62" s="27">
        <f>IF(C62&lt;'Hard and variable floor'!$B$44,'Hard and variable floor'!$G$44, IF(C62&lt;'Hard and variable floor'!$B$45,'Hard and variable floor'!$G$45, IF(C62&lt;'Hard and variable floor'!$B$46,'Hard and variable floor'!$G$46, IF(C62&lt;'Hard and variable floor'!$B$47,'Hard and variable floor'!$G$47, IF(C62&gt;'Hard and variable floor'!$B$48,'Hard and variable floor'!$G$48)))))</f>
        <v>1874999.25</v>
      </c>
      <c r="G62" s="109" t="str">
        <f t="shared" si="1"/>
        <v>N</v>
      </c>
      <c r="H62" s="27" t="s">
        <v>560</v>
      </c>
      <c r="I62" s="133" t="str">
        <f t="shared" si="2"/>
        <v xml:space="preserve">N/A </v>
      </c>
      <c r="J62" s="133" t="str">
        <f t="shared" si="3"/>
        <v>N/A</v>
      </c>
      <c r="K62" s="12">
        <f t="shared" si="4"/>
        <v>1874999.25</v>
      </c>
      <c r="L62" s="2" t="str">
        <f t="shared" si="5"/>
        <v xml:space="preserve">N/A </v>
      </c>
    </row>
    <row r="63" spans="1:12" s="2" customFormat="1" ht="15.75" x14ac:dyDescent="0.5">
      <c r="A63" s="19">
        <v>2</v>
      </c>
      <c r="B63" s="32" t="s">
        <v>40</v>
      </c>
      <c r="C63" s="106">
        <v>6185620.2785098767</v>
      </c>
      <c r="D63" s="33">
        <f t="shared" si="0"/>
        <v>2.6320438735035864E-3</v>
      </c>
      <c r="E63" s="27">
        <f>'9J 16-17 WAFM alloc'!O63</f>
        <v>4319392.9961168561</v>
      </c>
      <c r="F63" s="27">
        <f>IF(C63&lt;'Hard and variable floor'!$B$44,'Hard and variable floor'!$G$44, IF(C63&lt;'Hard and variable floor'!$B$45,'Hard and variable floor'!$G$45, IF(C63&lt;'Hard and variable floor'!$B$46,'Hard and variable floor'!$G$46, IF(C63&lt;'Hard and variable floor'!$B$47,'Hard and variable floor'!$G$47, IF(C63&gt;'Hard and variable floor'!$B$48,'Hard and variable floor'!$G$48)))))</f>
        <v>1874999.25</v>
      </c>
      <c r="G63" s="109" t="str">
        <f t="shared" si="1"/>
        <v>N</v>
      </c>
      <c r="H63" s="27" t="s">
        <v>560</v>
      </c>
      <c r="I63" s="133" t="str">
        <f t="shared" si="2"/>
        <v xml:space="preserve">N/A </v>
      </c>
      <c r="J63" s="133" t="str">
        <f t="shared" si="3"/>
        <v>N/A</v>
      </c>
      <c r="K63" s="12">
        <f t="shared" si="4"/>
        <v>1874999.25</v>
      </c>
      <c r="L63" s="2" t="str">
        <f t="shared" si="5"/>
        <v xml:space="preserve">N/A </v>
      </c>
    </row>
    <row r="64" spans="1:12" ht="6" customHeight="1" x14ac:dyDescent="0.45">
      <c r="A64" s="29"/>
      <c r="B64" s="32"/>
      <c r="C64" s="32"/>
      <c r="D64" s="107"/>
      <c r="E64" s="28"/>
      <c r="F64" s="29"/>
      <c r="G64" s="29"/>
      <c r="H64" s="29"/>
      <c r="I64" s="29"/>
      <c r="J64" s="28"/>
    </row>
    <row r="65" spans="1:10" x14ac:dyDescent="0.45">
      <c r="A65" s="29"/>
      <c r="B65" s="159" t="s">
        <v>62</v>
      </c>
      <c r="C65" s="111">
        <f t="shared" ref="C65:E65" si="6">SUM(C6:C63)</f>
        <v>2350120505.5051103</v>
      </c>
      <c r="D65" s="126">
        <f t="shared" si="6"/>
        <v>1.0000000000000002</v>
      </c>
      <c r="E65" s="35">
        <f t="shared" si="6"/>
        <v>1737291128.7371073</v>
      </c>
      <c r="F65" s="29"/>
      <c r="G65" s="29"/>
      <c r="H65" s="110"/>
      <c r="I65" s="110"/>
      <c r="J65" s="35">
        <f t="shared" ref="J65" si="7">SUM(J6:J63)</f>
        <v>8200371.6712571001</v>
      </c>
    </row>
    <row r="66" spans="1:10" x14ac:dyDescent="0.45">
      <c r="C66" s="25"/>
      <c r="E66" s="14"/>
      <c r="F66"/>
      <c r="G66"/>
    </row>
    <row r="67" spans="1:10" x14ac:dyDescent="0.45">
      <c r="C67" s="112"/>
      <c r="F67"/>
      <c r="G67"/>
      <c r="I67" s="2"/>
      <c r="J67" s="18"/>
    </row>
    <row r="68" spans="1:10" x14ac:dyDescent="0.45">
      <c r="C68" s="25"/>
      <c r="E68" s="14"/>
      <c r="F68"/>
      <c r="G68"/>
    </row>
    <row r="69" spans="1:10" x14ac:dyDescent="0.45">
      <c r="C69" s="25"/>
      <c r="E69" s="14"/>
      <c r="F69"/>
      <c r="G69"/>
    </row>
    <row r="70" spans="1:10" x14ac:dyDescent="0.45">
      <c r="C70" s="25"/>
      <c r="E70" s="14"/>
      <c r="F70"/>
      <c r="G70"/>
    </row>
    <row r="71" spans="1:10" x14ac:dyDescent="0.45">
      <c r="C71" s="25"/>
      <c r="E71" s="14"/>
      <c r="F71"/>
      <c r="G71"/>
    </row>
    <row r="72" spans="1:10" x14ac:dyDescent="0.45">
      <c r="C72" s="25"/>
      <c r="E72" s="14"/>
      <c r="F72"/>
      <c r="G72"/>
    </row>
    <row r="73" spans="1:10" x14ac:dyDescent="0.45">
      <c r="C73" s="25"/>
      <c r="E73" s="14"/>
      <c r="F73"/>
      <c r="G73"/>
    </row>
    <row r="74" spans="1:10" s="1" customFormat="1" x14ac:dyDescent="0.45">
      <c r="A74"/>
      <c r="B74" s="2"/>
      <c r="D74" s="127"/>
      <c r="E74" s="23"/>
      <c r="F74" s="23"/>
      <c r="G74" s="23"/>
      <c r="H74"/>
      <c r="I74"/>
      <c r="J74" s="23"/>
    </row>
  </sheetData>
  <mergeCells count="6">
    <mergeCell ref="J3:J4"/>
    <mergeCell ref="A3:A4"/>
    <mergeCell ref="B3:B4"/>
    <mergeCell ref="C3:D3"/>
    <mergeCell ref="E3:E4"/>
    <mergeCell ref="F3:I3"/>
  </mergeCells>
  <conditionalFormatting sqref="G64:G1048576 G5 G1:G2">
    <cfRule type="cellIs" dxfId="0" priority="1" operator="equal">
      <formula>"Y"</formula>
    </cfRule>
  </conditionalFormatting>
  <printOptions horizontalCentered="1"/>
  <pageMargins left="0.2" right="0.2" top="0.54" bottom="0.04" header="0.3" footer="0.3"/>
  <pageSetup scale="55" orientation="portrait" r:id="rId1"/>
  <headerFooter>
    <oddHeader>&amp;R&amp;"-,Bold"&amp;14 9K</oddHeader>
  </headerFooter>
  <rowBreaks count="1" manualBreakCount="1">
    <brk id="34"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B1:I67"/>
  <sheetViews>
    <sheetView showGridLines="0" zoomScaleNormal="100" workbookViewId="0">
      <pane xSplit="2" ySplit="5" topLeftCell="C48" activePane="bottomRight" state="frozen"/>
      <selection activeCell="DX70" sqref="DX70"/>
      <selection pane="topRight" activeCell="DX70" sqref="DX70"/>
      <selection pane="bottomLeft" activeCell="DX70" sqref="DX70"/>
      <selection pane="bottomRight" activeCell="DX70" sqref="DX70"/>
    </sheetView>
  </sheetViews>
  <sheetFormatPr defaultColWidth="9.1328125" defaultRowHeight="15.4" x14ac:dyDescent="0.45"/>
  <cols>
    <col min="1" max="1" width="1.59765625" style="3" customWidth="1"/>
    <col min="2" max="2" width="15.3984375" style="3" bestFit="1" customWidth="1"/>
    <col min="3" max="3" width="16.86328125" style="3" bestFit="1" customWidth="1"/>
    <col min="4" max="4" width="12.59765625" style="47" bestFit="1" customWidth="1"/>
    <col min="5" max="5" width="11.3984375" style="3" bestFit="1" customWidth="1"/>
    <col min="6" max="6" width="15.59765625" style="3" hidden="1" customWidth="1"/>
    <col min="7" max="7" width="9.3984375" style="3" bestFit="1" customWidth="1"/>
    <col min="8" max="8" width="12.3984375" style="47" bestFit="1" customWidth="1"/>
    <col min="9" max="9" width="9.3984375" style="3" bestFit="1" customWidth="1"/>
    <col min="10" max="16384" width="9.1328125" style="3"/>
  </cols>
  <sheetData>
    <row r="1" spans="2:9" ht="21" customHeight="1" x14ac:dyDescent="0.45">
      <c r="B1" s="153" t="s">
        <v>176</v>
      </c>
      <c r="C1" s="165"/>
    </row>
    <row r="2" spans="2:9" ht="19.899999999999999" x14ac:dyDescent="0.45">
      <c r="B2" s="165"/>
      <c r="C2" s="165"/>
    </row>
    <row r="3" spans="2:9" ht="5.25" customHeight="1" x14ac:dyDescent="0.45">
      <c r="B3" s="165"/>
      <c r="C3" s="165"/>
    </row>
    <row r="4" spans="2:9" ht="68.25" customHeight="1" x14ac:dyDescent="0.45">
      <c r="B4" s="26"/>
      <c r="C4" s="4" t="s">
        <v>177</v>
      </c>
      <c r="D4" s="143" t="s">
        <v>152</v>
      </c>
      <c r="E4" s="144" t="s">
        <v>163</v>
      </c>
      <c r="F4" s="144" t="s">
        <v>150</v>
      </c>
      <c r="G4" s="144" t="s">
        <v>141</v>
      </c>
      <c r="H4" s="123" t="s">
        <v>151</v>
      </c>
    </row>
    <row r="5" spans="2:9" x14ac:dyDescent="0.45">
      <c r="B5" s="5" t="s">
        <v>63</v>
      </c>
      <c r="C5" s="16" t="s">
        <v>68</v>
      </c>
      <c r="D5" s="16" t="s">
        <v>1</v>
      </c>
      <c r="E5" s="16" t="s">
        <v>69</v>
      </c>
      <c r="F5" s="16">
        <v>12</v>
      </c>
      <c r="G5" s="16" t="s">
        <v>2</v>
      </c>
      <c r="H5" s="16" t="s">
        <v>3</v>
      </c>
    </row>
    <row r="6" spans="2:9" x14ac:dyDescent="0.45">
      <c r="B6" s="6" t="s">
        <v>53</v>
      </c>
      <c r="C6" s="9">
        <f>'9J 16-17 WAFM alloc'!O6</f>
        <v>71312690.532442972</v>
      </c>
      <c r="D6" s="130" t="str">
        <f>VLOOKUP(B6,'9K Floor 16-17'!$B$6:$J$65,9, FALSE)</f>
        <v>N/A</v>
      </c>
      <c r="E6" s="130">
        <f t="shared" ref="E6:E63" si="0">IF(D6="n/a",0,D6-C6)</f>
        <v>0</v>
      </c>
      <c r="F6" s="130">
        <f t="shared" ref="F6:F63" si="1">IF(E6=0,C6,0)</f>
        <v>71312690.532442972</v>
      </c>
      <c r="G6" s="132">
        <f>F6/$F$64</f>
        <v>4.1233332442909221E-2</v>
      </c>
      <c r="H6" s="130">
        <f t="shared" ref="H6" si="2">IF(E6=0,-G6*$E$64,0)</f>
        <v>-16516.522385186876</v>
      </c>
      <c r="I6" s="131"/>
    </row>
    <row r="7" spans="2:9" x14ac:dyDescent="0.45">
      <c r="B7" s="6" t="s">
        <v>4</v>
      </c>
      <c r="C7" s="9">
        <f>'9J 16-17 WAFM alloc'!O7</f>
        <v>714069.40558610752</v>
      </c>
      <c r="D7" s="130">
        <f>VLOOKUP(B7,'9K Floor 16-17'!$B$6:$J$65,9, FALSE)</f>
        <v>750000</v>
      </c>
      <c r="E7" s="130">
        <f t="shared" si="0"/>
        <v>35930.594413892482</v>
      </c>
      <c r="F7" s="130">
        <f t="shared" si="1"/>
        <v>0</v>
      </c>
      <c r="G7" s="132">
        <f t="shared" ref="G7:G63" si="3">F7/$F$64</f>
        <v>0</v>
      </c>
      <c r="H7" s="130">
        <f>IF(E7=0,-G7*$E$64,0)</f>
        <v>0</v>
      </c>
      <c r="I7" s="131"/>
    </row>
    <row r="8" spans="2:9" x14ac:dyDescent="0.45">
      <c r="B8" s="6" t="s">
        <v>5</v>
      </c>
      <c r="C8" s="9">
        <f>'9J 16-17 WAFM alloc'!O8</f>
        <v>2297402.2835562243</v>
      </c>
      <c r="D8" s="130" t="str">
        <f>VLOOKUP(B8,'9K Floor 16-17'!$B$6:$J$65,9, FALSE)</f>
        <v>N/A</v>
      </c>
      <c r="E8" s="130">
        <f t="shared" si="0"/>
        <v>0</v>
      </c>
      <c r="F8" s="130">
        <f t="shared" si="1"/>
        <v>2297402.2835562243</v>
      </c>
      <c r="G8" s="132">
        <f t="shared" si="3"/>
        <v>1.3283687854951476E-3</v>
      </c>
      <c r="H8" s="130">
        <f t="shared" ref="H8:H63" si="4">IF(E8=0,-G8*$E$64,0)</f>
        <v>-532.09458177535873</v>
      </c>
      <c r="I8" s="131"/>
    </row>
    <row r="9" spans="2:9" x14ac:dyDescent="0.45">
      <c r="B9" s="6" t="s">
        <v>19</v>
      </c>
      <c r="C9" s="9">
        <f>'9J 16-17 WAFM alloc'!O9</f>
        <v>9411312.8874307051</v>
      </c>
      <c r="D9" s="130" t="str">
        <f>VLOOKUP(B9,'9K Floor 16-17'!$B$6:$J$65,9, FALSE)</f>
        <v>N/A</v>
      </c>
      <c r="E9" s="130">
        <f t="shared" si="0"/>
        <v>0</v>
      </c>
      <c r="F9" s="130">
        <f t="shared" si="1"/>
        <v>9411312.8874307051</v>
      </c>
      <c r="G9" s="132">
        <f t="shared" si="3"/>
        <v>5.4416652928712924E-3</v>
      </c>
      <c r="H9" s="130">
        <f t="shared" si="4"/>
        <v>-2179.7264809203934</v>
      </c>
      <c r="I9" s="131"/>
    </row>
    <row r="10" spans="2:9" x14ac:dyDescent="0.45">
      <c r="B10" s="6" t="s">
        <v>6</v>
      </c>
      <c r="C10" s="9">
        <f>'9J 16-17 WAFM alloc'!O10</f>
        <v>2190616.822153375</v>
      </c>
      <c r="D10" s="130" t="str">
        <f>VLOOKUP(B10,'9K Floor 16-17'!$B$6:$J$65,9, FALSE)</f>
        <v>N/A</v>
      </c>
      <c r="E10" s="130">
        <f t="shared" si="0"/>
        <v>0</v>
      </c>
      <c r="F10" s="130">
        <f t="shared" si="1"/>
        <v>2190616.822153375</v>
      </c>
      <c r="G10" s="132">
        <f t="shared" si="3"/>
        <v>1.2666249304082331E-3</v>
      </c>
      <c r="H10" s="130">
        <f t="shared" si="4"/>
        <v>-507.36231532314451</v>
      </c>
      <c r="I10" s="131"/>
    </row>
    <row r="11" spans="2:9" x14ac:dyDescent="0.45">
      <c r="B11" s="6" t="s">
        <v>7</v>
      </c>
      <c r="C11" s="9">
        <f>'9J 16-17 WAFM alloc'!O11</f>
        <v>1714954.8216225959</v>
      </c>
      <c r="D11" s="130">
        <f>VLOOKUP(B11,'9K Floor 16-17'!$B$6:$J$65,9, FALSE)</f>
        <v>1874999.25</v>
      </c>
      <c r="E11" s="130">
        <f t="shared" si="0"/>
        <v>160044.42837740411</v>
      </c>
      <c r="F11" s="130">
        <f t="shared" si="1"/>
        <v>0</v>
      </c>
      <c r="G11" s="132">
        <f t="shared" si="3"/>
        <v>0</v>
      </c>
      <c r="H11" s="130">
        <f t="shared" si="4"/>
        <v>0</v>
      </c>
      <c r="I11" s="131"/>
    </row>
    <row r="12" spans="2:9" x14ac:dyDescent="0.45">
      <c r="B12" s="6" t="s">
        <v>41</v>
      </c>
      <c r="C12" s="9">
        <f>'9J 16-17 WAFM alloc'!O12</f>
        <v>37729833.769002028</v>
      </c>
      <c r="D12" s="130" t="str">
        <f>VLOOKUP(B12,'9K Floor 16-17'!$B$6:$J$65,9, FALSE)</f>
        <v>N/A</v>
      </c>
      <c r="E12" s="130">
        <f t="shared" si="0"/>
        <v>0</v>
      </c>
      <c r="F12" s="130">
        <f t="shared" si="1"/>
        <v>37729833.769002028</v>
      </c>
      <c r="G12" s="132">
        <f t="shared" si="3"/>
        <v>2.1815567007743189E-2</v>
      </c>
      <c r="H12" s="130">
        <f t="shared" si="4"/>
        <v>-8738.4957625683601</v>
      </c>
      <c r="I12" s="131"/>
    </row>
    <row r="13" spans="2:9" x14ac:dyDescent="0.45">
      <c r="B13" s="6" t="s">
        <v>8</v>
      </c>
      <c r="C13" s="9">
        <f>'9J 16-17 WAFM alloc'!O13</f>
        <v>2534040.0897385073</v>
      </c>
      <c r="D13" s="130" t="str">
        <f>VLOOKUP(B13,'9K Floor 16-17'!$B$6:$J$65,9, FALSE)</f>
        <v>N/A</v>
      </c>
      <c r="E13" s="130">
        <f t="shared" si="0"/>
        <v>0</v>
      </c>
      <c r="F13" s="130">
        <f t="shared" si="1"/>
        <v>2534040.0897385073</v>
      </c>
      <c r="G13" s="132">
        <f t="shared" si="3"/>
        <v>1.4651938759246803E-3</v>
      </c>
      <c r="H13" s="130">
        <f t="shared" si="4"/>
        <v>-586.90156765416361</v>
      </c>
      <c r="I13" s="131"/>
    </row>
    <row r="14" spans="2:9" x14ac:dyDescent="0.45">
      <c r="B14" s="6" t="s">
        <v>20</v>
      </c>
      <c r="C14" s="9">
        <f>'9J 16-17 WAFM alloc'!O14</f>
        <v>6562099.1043333737</v>
      </c>
      <c r="D14" s="130" t="str">
        <f>VLOOKUP(B14,'9K Floor 16-17'!$B$6:$J$65,9, FALSE)</f>
        <v>N/A</v>
      </c>
      <c r="E14" s="130">
        <f t="shared" si="0"/>
        <v>0</v>
      </c>
      <c r="F14" s="130">
        <f t="shared" si="1"/>
        <v>6562099.1043333737</v>
      </c>
      <c r="G14" s="132">
        <f t="shared" si="3"/>
        <v>3.7942365078652935E-3</v>
      </c>
      <c r="H14" s="130">
        <f t="shared" si="4"/>
        <v>-1519.8284616849389</v>
      </c>
      <c r="I14" s="131"/>
    </row>
    <row r="15" spans="2:9" x14ac:dyDescent="0.45">
      <c r="B15" s="6" t="s">
        <v>42</v>
      </c>
      <c r="C15" s="9">
        <f>'9J 16-17 WAFM alloc'!O15</f>
        <v>47622817.824906752</v>
      </c>
      <c r="D15" s="130" t="str">
        <f>VLOOKUP(B15,'9K Floor 16-17'!$B$6:$J$65,9, FALSE)</f>
        <v>N/A</v>
      </c>
      <c r="E15" s="130">
        <f t="shared" si="0"/>
        <v>0</v>
      </c>
      <c r="F15" s="130">
        <f t="shared" si="1"/>
        <v>47622817.824906752</v>
      </c>
      <c r="G15" s="132">
        <f t="shared" si="3"/>
        <v>2.7535736831428927E-2</v>
      </c>
      <c r="H15" s="130">
        <f t="shared" si="4"/>
        <v>-11029.780685289248</v>
      </c>
      <c r="I15" s="131"/>
    </row>
    <row r="16" spans="2:9" x14ac:dyDescent="0.45">
      <c r="B16" s="6" t="s">
        <v>9</v>
      </c>
      <c r="C16" s="9">
        <f>'9J 16-17 WAFM alloc'!O16</f>
        <v>1811480.0990383765</v>
      </c>
      <c r="D16" s="130">
        <f>VLOOKUP(B16,'9K Floor 16-17'!$B$6:$J$65,9, FALSE)</f>
        <v>1874999.25</v>
      </c>
      <c r="E16" s="130">
        <f t="shared" si="0"/>
        <v>63519.150961623527</v>
      </c>
      <c r="F16" s="130">
        <f t="shared" si="1"/>
        <v>0</v>
      </c>
      <c r="G16" s="132">
        <f t="shared" si="3"/>
        <v>0</v>
      </c>
      <c r="H16" s="130">
        <f t="shared" si="4"/>
        <v>0</v>
      </c>
      <c r="I16" s="131"/>
    </row>
    <row r="17" spans="2:9" x14ac:dyDescent="0.45">
      <c r="B17" s="6" t="s">
        <v>21</v>
      </c>
      <c r="C17" s="9">
        <f>'9J 16-17 WAFM alloc'!O17</f>
        <v>5994092.5332317539</v>
      </c>
      <c r="D17" s="130" t="str">
        <f>VLOOKUP(B17,'9K Floor 16-17'!$B$6:$J$65,9, FALSE)</f>
        <v>N/A</v>
      </c>
      <c r="E17" s="130">
        <f t="shared" si="0"/>
        <v>0</v>
      </c>
      <c r="F17" s="130">
        <f t="shared" si="1"/>
        <v>5994092.5332317539</v>
      </c>
      <c r="G17" s="132">
        <f t="shared" si="3"/>
        <v>3.4658124419504762E-3</v>
      </c>
      <c r="H17" s="130">
        <f t="shared" si="4"/>
        <v>-1388.2741313618512</v>
      </c>
      <c r="I17" s="131"/>
    </row>
    <row r="18" spans="2:9" x14ac:dyDescent="0.45">
      <c r="B18" s="6" t="s">
        <v>22</v>
      </c>
      <c r="C18" s="9">
        <f>'9J 16-17 WAFM alloc'!O18</f>
        <v>8083870.6906979633</v>
      </c>
      <c r="D18" s="130" t="str">
        <f>VLOOKUP(B18,'9K Floor 16-17'!$B$6:$J$65,9, FALSE)</f>
        <v>N/A</v>
      </c>
      <c r="E18" s="130">
        <f t="shared" si="0"/>
        <v>0</v>
      </c>
      <c r="F18" s="130">
        <f t="shared" si="1"/>
        <v>8083870.6906979633</v>
      </c>
      <c r="G18" s="132">
        <f t="shared" si="3"/>
        <v>4.6741319830500092E-3</v>
      </c>
      <c r="H18" s="130">
        <f t="shared" si="4"/>
        <v>-1872.2815003190299</v>
      </c>
      <c r="I18" s="131"/>
    </row>
    <row r="19" spans="2:9" x14ac:dyDescent="0.45">
      <c r="B19" s="6" t="s">
        <v>10</v>
      </c>
      <c r="C19" s="9">
        <f>'9J 16-17 WAFM alloc'!O19</f>
        <v>1881511.0150040269</v>
      </c>
      <c r="D19" s="130" t="str">
        <f>VLOOKUP(B19,'9K Floor 16-17'!$B$6:$J$65,9, FALSE)</f>
        <v>N/A</v>
      </c>
      <c r="E19" s="130">
        <f t="shared" si="0"/>
        <v>0</v>
      </c>
      <c r="F19" s="130">
        <f t="shared" si="1"/>
        <v>1881511.0150040269</v>
      </c>
      <c r="G19" s="132">
        <f t="shared" si="3"/>
        <v>1.0878985016188939E-3</v>
      </c>
      <c r="H19" s="130">
        <f t="shared" si="4"/>
        <v>-435.77122900940014</v>
      </c>
      <c r="I19" s="131"/>
    </row>
    <row r="20" spans="2:9" x14ac:dyDescent="0.45">
      <c r="B20" s="6" t="s">
        <v>43</v>
      </c>
      <c r="C20" s="9">
        <f>'9J 16-17 WAFM alloc'!O20</f>
        <v>44919228.956164889</v>
      </c>
      <c r="D20" s="130" t="str">
        <f>VLOOKUP(B20,'9K Floor 16-17'!$B$6:$J$65,9, FALSE)</f>
        <v>N/A</v>
      </c>
      <c r="E20" s="130">
        <f t="shared" si="0"/>
        <v>0</v>
      </c>
      <c r="F20" s="130">
        <f t="shared" si="1"/>
        <v>44919228.956164889</v>
      </c>
      <c r="G20" s="132">
        <f t="shared" si="3"/>
        <v>2.5972509055538655E-2</v>
      </c>
      <c r="H20" s="130">
        <f t="shared" si="4"/>
        <v>-10403.61042390215</v>
      </c>
      <c r="I20" s="131"/>
    </row>
    <row r="21" spans="2:9" x14ac:dyDescent="0.45">
      <c r="B21" s="6" t="s">
        <v>23</v>
      </c>
      <c r="C21" s="9">
        <f>'9J 16-17 WAFM alloc'!O21</f>
        <v>6161823.644749796</v>
      </c>
      <c r="D21" s="130" t="str">
        <f>VLOOKUP(B21,'9K Floor 16-17'!$B$6:$J$65,9, FALSE)</f>
        <v>N/A</v>
      </c>
      <c r="E21" s="130">
        <f t="shared" si="0"/>
        <v>0</v>
      </c>
      <c r="F21" s="130">
        <f t="shared" si="1"/>
        <v>6161823.644749796</v>
      </c>
      <c r="G21" s="132">
        <f t="shared" si="3"/>
        <v>3.5627953580430289E-3</v>
      </c>
      <c r="H21" s="130">
        <f t="shared" si="4"/>
        <v>-1427.1218404777999</v>
      </c>
      <c r="I21" s="131"/>
    </row>
    <row r="22" spans="2:9" x14ac:dyDescent="0.45">
      <c r="B22" s="6" t="s">
        <v>24</v>
      </c>
      <c r="C22" s="9">
        <f>'9J 16-17 WAFM alloc'!O22</f>
        <v>3112189.8290184815</v>
      </c>
      <c r="D22" s="130" t="str">
        <f>VLOOKUP(B22,'9K Floor 16-17'!$B$6:$J$65,9, FALSE)</f>
        <v>N/A</v>
      </c>
      <c r="E22" s="130">
        <f t="shared" si="0"/>
        <v>0</v>
      </c>
      <c r="F22" s="130">
        <f t="shared" si="1"/>
        <v>3112189.8290184815</v>
      </c>
      <c r="G22" s="132">
        <f t="shared" si="3"/>
        <v>1.7994827692972722E-3</v>
      </c>
      <c r="H22" s="130">
        <f t="shared" si="4"/>
        <v>-720.80512730829594</v>
      </c>
      <c r="I22" s="131"/>
    </row>
    <row r="23" spans="2:9" x14ac:dyDescent="0.45">
      <c r="B23" s="6" t="s">
        <v>11</v>
      </c>
      <c r="C23" s="9">
        <f>'9J 16-17 WAFM alloc'!O23</f>
        <v>1978689.2733628328</v>
      </c>
      <c r="D23" s="130" t="str">
        <f>VLOOKUP(B23,'9K Floor 16-17'!$B$6:$J$65,9, FALSE)</f>
        <v>N/A</v>
      </c>
      <c r="E23" s="130">
        <f t="shared" si="0"/>
        <v>0</v>
      </c>
      <c r="F23" s="130">
        <f t="shared" si="1"/>
        <v>1978689.2733628328</v>
      </c>
      <c r="G23" s="132">
        <f t="shared" si="3"/>
        <v>1.1440874268047784E-3</v>
      </c>
      <c r="H23" s="130">
        <f t="shared" si="4"/>
        <v>-458.27839943801405</v>
      </c>
      <c r="I23" s="131"/>
    </row>
    <row r="24" spans="2:9" x14ac:dyDescent="0.45">
      <c r="B24" s="6" t="s">
        <v>54</v>
      </c>
      <c r="C24" s="9">
        <f>'9J 16-17 WAFM alloc'!O24</f>
        <v>498687659.09404403</v>
      </c>
      <c r="D24" s="130" t="str">
        <f>VLOOKUP(B24,'9K Floor 16-17'!$B$6:$J$65,9, FALSE)</f>
        <v>N/A</v>
      </c>
      <c r="E24" s="130">
        <f t="shared" si="0"/>
        <v>0</v>
      </c>
      <c r="F24" s="130">
        <f t="shared" si="1"/>
        <v>498687659.09404403</v>
      </c>
      <c r="G24" s="132">
        <f t="shared" si="3"/>
        <v>0.28834354557476943</v>
      </c>
      <c r="H24" s="130">
        <f t="shared" si="4"/>
        <v>-115499.58111447317</v>
      </c>
      <c r="I24" s="131"/>
    </row>
    <row r="25" spans="2:9" x14ac:dyDescent="0.45">
      <c r="B25" s="6" t="s">
        <v>25</v>
      </c>
      <c r="C25" s="9">
        <f>'9J 16-17 WAFM alloc'!O25</f>
        <v>7389202.8183735237</v>
      </c>
      <c r="D25" s="130" t="str">
        <f>VLOOKUP(B25,'9K Floor 16-17'!$B$6:$J$65,9, FALSE)</f>
        <v>N/A</v>
      </c>
      <c r="E25" s="130">
        <f t="shared" si="0"/>
        <v>0</v>
      </c>
      <c r="F25" s="130">
        <f t="shared" si="1"/>
        <v>7389202.8183735237</v>
      </c>
      <c r="G25" s="132">
        <f t="shared" si="3"/>
        <v>4.2724717581573441E-3</v>
      </c>
      <c r="H25" s="130">
        <f t="shared" si="4"/>
        <v>-1711.3915187764458</v>
      </c>
      <c r="I25" s="131"/>
    </row>
    <row r="26" spans="2:9" x14ac:dyDescent="0.45">
      <c r="B26" s="6" t="s">
        <v>26</v>
      </c>
      <c r="C26" s="9">
        <f>'9J 16-17 WAFM alloc'!O26</f>
        <v>12114357.942464968</v>
      </c>
      <c r="D26" s="130" t="str">
        <f>VLOOKUP(B26,'9K Floor 16-17'!$B$6:$J$65,9, FALSE)</f>
        <v>N/A</v>
      </c>
      <c r="E26" s="130">
        <f t="shared" si="0"/>
        <v>0</v>
      </c>
      <c r="F26" s="130">
        <f t="shared" si="1"/>
        <v>12114357.942464968</v>
      </c>
      <c r="G26" s="132">
        <f t="shared" si="3"/>
        <v>7.0045786331228996E-3</v>
      </c>
      <c r="H26" s="130">
        <f t="shared" si="4"/>
        <v>-2805.7707912150859</v>
      </c>
      <c r="I26" s="131"/>
    </row>
    <row r="27" spans="2:9" x14ac:dyDescent="0.45">
      <c r="B27" s="6" t="s">
        <v>12</v>
      </c>
      <c r="C27" s="9">
        <f>'9J 16-17 WAFM alloc'!O27</f>
        <v>1130913.8637978353</v>
      </c>
      <c r="D27" s="130" t="str">
        <f>VLOOKUP(B27,'9K Floor 16-17'!$B$6:$J$65,9, FALSE)</f>
        <v>N/A</v>
      </c>
      <c r="E27" s="130">
        <f t="shared" si="0"/>
        <v>0</v>
      </c>
      <c r="F27" s="130">
        <f t="shared" si="1"/>
        <v>1130913.8637978353</v>
      </c>
      <c r="G27" s="132">
        <f t="shared" si="3"/>
        <v>6.5389970511709481E-4</v>
      </c>
      <c r="H27" s="130">
        <f t="shared" si="4"/>
        <v>-261.92763178157497</v>
      </c>
      <c r="I27" s="131"/>
    </row>
    <row r="28" spans="2:9" x14ac:dyDescent="0.45">
      <c r="B28" s="6" t="s">
        <v>27</v>
      </c>
      <c r="C28" s="9">
        <f>'9J 16-17 WAFM alloc'!O28</f>
        <v>5215880.7302968223</v>
      </c>
      <c r="D28" s="130" t="str">
        <f>VLOOKUP(B28,'9K Floor 16-17'!$B$6:$J$65,9, FALSE)</f>
        <v>N/A</v>
      </c>
      <c r="E28" s="130">
        <f t="shared" si="0"/>
        <v>0</v>
      </c>
      <c r="F28" s="130">
        <f t="shared" si="1"/>
        <v>5215880.7302968223</v>
      </c>
      <c r="G28" s="132">
        <f t="shared" si="3"/>
        <v>3.0158467241822823E-3</v>
      </c>
      <c r="H28" s="130">
        <f t="shared" si="4"/>
        <v>-1208.0347859154199</v>
      </c>
      <c r="I28" s="131"/>
    </row>
    <row r="29" spans="2:9" x14ac:dyDescent="0.45">
      <c r="B29" s="6" t="s">
        <v>28</v>
      </c>
      <c r="C29" s="9">
        <f>'9J 16-17 WAFM alloc'!O29</f>
        <v>11646112.672652833</v>
      </c>
      <c r="D29" s="130" t="str">
        <f>VLOOKUP(B29,'9K Floor 16-17'!$B$6:$J$65,9, FALSE)</f>
        <v>N/A</v>
      </c>
      <c r="E29" s="130">
        <f t="shared" si="0"/>
        <v>0</v>
      </c>
      <c r="F29" s="130">
        <f t="shared" si="1"/>
        <v>11646112.672652833</v>
      </c>
      <c r="G29" s="132">
        <f t="shared" si="3"/>
        <v>6.7338370199425662E-3</v>
      </c>
      <c r="H29" s="130">
        <f t="shared" si="4"/>
        <v>-2697.3218822920435</v>
      </c>
      <c r="I29" s="131"/>
    </row>
    <row r="30" spans="2:9" x14ac:dyDescent="0.45">
      <c r="B30" s="6" t="s">
        <v>13</v>
      </c>
      <c r="C30" s="9">
        <f>'9J 16-17 WAFM alloc'!O30</f>
        <v>888539.1856984084</v>
      </c>
      <c r="D30" s="130" t="str">
        <f>VLOOKUP(B30,'9K Floor 16-17'!$B$6:$J$65,9, FALSE)</f>
        <v>N/A</v>
      </c>
      <c r="E30" s="130">
        <f t="shared" si="0"/>
        <v>0</v>
      </c>
      <c r="F30" s="130">
        <f t="shared" si="1"/>
        <v>888539.1856984084</v>
      </c>
      <c r="G30" s="132">
        <f t="shared" si="3"/>
        <v>5.1375752841335441E-4</v>
      </c>
      <c r="H30" s="130">
        <f t="shared" si="4"/>
        <v>-205.79194588131517</v>
      </c>
      <c r="I30" s="131"/>
    </row>
    <row r="31" spans="2:9" x14ac:dyDescent="0.45">
      <c r="B31" s="6" t="s">
        <v>14</v>
      </c>
      <c r="C31" s="9">
        <f>'9J 16-17 WAFM alloc'!O31</f>
        <v>1592613.7394450638</v>
      </c>
      <c r="D31" s="130">
        <f>VLOOKUP(B31,'9K Floor 16-17'!$B$6:$J$65,9, FALSE)</f>
        <v>1700373.6712571003</v>
      </c>
      <c r="E31" s="130">
        <f t="shared" si="0"/>
        <v>107759.93181203655</v>
      </c>
      <c r="F31" s="130">
        <f t="shared" si="1"/>
        <v>0</v>
      </c>
      <c r="G31" s="132">
        <f t="shared" si="3"/>
        <v>0</v>
      </c>
      <c r="H31" s="130">
        <f t="shared" si="4"/>
        <v>0</v>
      </c>
      <c r="I31" s="131"/>
    </row>
    <row r="32" spans="2:9" x14ac:dyDescent="0.45">
      <c r="B32" s="6" t="s">
        <v>44</v>
      </c>
      <c r="C32" s="9">
        <f>'9J 16-17 WAFM alloc'!O32</f>
        <v>16440293.276644394</v>
      </c>
      <c r="D32" s="130" t="str">
        <f>VLOOKUP(B32,'9K Floor 16-17'!$B$6:$J$65,9, FALSE)</f>
        <v>N/A</v>
      </c>
      <c r="E32" s="130">
        <f t="shared" si="0"/>
        <v>0</v>
      </c>
      <c r="F32" s="130">
        <f t="shared" si="1"/>
        <v>16440293.276644394</v>
      </c>
      <c r="G32" s="132">
        <f t="shared" si="3"/>
        <v>9.5058547514261203E-3</v>
      </c>
      <c r="H32" s="130">
        <f t="shared" si="4"/>
        <v>-3807.6879429924425</v>
      </c>
      <c r="I32" s="131"/>
    </row>
    <row r="33" spans="2:9" x14ac:dyDescent="0.45">
      <c r="B33" s="6" t="s">
        <v>29</v>
      </c>
      <c r="C33" s="9">
        <f>'9J 16-17 WAFM alloc'!O33</f>
        <v>6851267.9732782049</v>
      </c>
      <c r="D33" s="130" t="str">
        <f>VLOOKUP(B33,'9K Floor 16-17'!$B$6:$J$65,9, FALSE)</f>
        <v>N/A</v>
      </c>
      <c r="E33" s="130">
        <f t="shared" si="0"/>
        <v>0</v>
      </c>
      <c r="F33" s="130">
        <f t="shared" si="1"/>
        <v>6851267.9732782049</v>
      </c>
      <c r="G33" s="132">
        <f t="shared" si="3"/>
        <v>3.9614353053909297E-3</v>
      </c>
      <c r="H33" s="130">
        <f t="shared" si="4"/>
        <v>-1586.8020124143657</v>
      </c>
      <c r="I33" s="131"/>
    </row>
    <row r="34" spans="2:9" x14ac:dyDescent="0.45">
      <c r="B34" s="6" t="s">
        <v>30</v>
      </c>
      <c r="C34" s="9">
        <f>'9J 16-17 WAFM alloc'!O34</f>
        <v>4229556.9854611009</v>
      </c>
      <c r="D34" s="130" t="str">
        <f>VLOOKUP(B34,'9K Floor 16-17'!$B$6:$J$65,9, FALSE)</f>
        <v>N/A</v>
      </c>
      <c r="E34" s="130">
        <f t="shared" si="0"/>
        <v>0</v>
      </c>
      <c r="F34" s="130">
        <f t="shared" si="1"/>
        <v>4229556.9854611009</v>
      </c>
      <c r="G34" s="132">
        <f t="shared" si="3"/>
        <v>2.4455497046266348E-3</v>
      </c>
      <c r="H34" s="130">
        <f t="shared" si="4"/>
        <v>-979.59524606648824</v>
      </c>
      <c r="I34" s="131"/>
    </row>
    <row r="35" spans="2:9" x14ac:dyDescent="0.45">
      <c r="B35" s="6" t="s">
        <v>55</v>
      </c>
      <c r="C35" s="9">
        <f>'9J 16-17 WAFM alloc'!O35</f>
        <v>135137659.96053433</v>
      </c>
      <c r="D35" s="130" t="str">
        <f>VLOOKUP(B35,'9K Floor 16-17'!$B$6:$J$65,9, FALSE)</f>
        <v>N/A</v>
      </c>
      <c r="E35" s="130">
        <f t="shared" si="0"/>
        <v>0</v>
      </c>
      <c r="F35" s="130">
        <f t="shared" si="1"/>
        <v>135137659.96053433</v>
      </c>
      <c r="G35" s="132">
        <f t="shared" si="3"/>
        <v>7.8137229392214985E-2</v>
      </c>
      <c r="H35" s="130">
        <f t="shared" si="4"/>
        <v>-31298.835721315412</v>
      </c>
      <c r="I35" s="131"/>
    </row>
    <row r="36" spans="2:9" x14ac:dyDescent="0.45">
      <c r="B36" s="6" t="s">
        <v>31</v>
      </c>
      <c r="C36" s="9">
        <f>'9J 16-17 WAFM alloc'!O36</f>
        <v>14763447.17847418</v>
      </c>
      <c r="D36" s="130" t="str">
        <f>VLOOKUP(B36,'9K Floor 16-17'!$B$6:$J$65,9, FALSE)</f>
        <v>N/A</v>
      </c>
      <c r="E36" s="130">
        <f t="shared" si="0"/>
        <v>0</v>
      </c>
      <c r="F36" s="130">
        <f t="shared" si="1"/>
        <v>14763447.17847418</v>
      </c>
      <c r="G36" s="132">
        <f t="shared" si="3"/>
        <v>8.5362944655189132E-3</v>
      </c>
      <c r="H36" s="130">
        <f t="shared" si="4"/>
        <v>-3419.3185530541714</v>
      </c>
      <c r="I36" s="131"/>
    </row>
    <row r="37" spans="2:9" x14ac:dyDescent="0.45">
      <c r="B37" s="6" t="s">
        <v>15</v>
      </c>
      <c r="C37" s="9">
        <f>'9J 16-17 WAFM alloc'!O37</f>
        <v>1245061.3169192527</v>
      </c>
      <c r="D37" s="130">
        <f>VLOOKUP(B37,'9K Floor 16-17'!$B$6:$J$65,9, FALSE)</f>
        <v>1249999.5</v>
      </c>
      <c r="E37" s="130">
        <f t="shared" si="0"/>
        <v>4938.1830807472579</v>
      </c>
      <c r="F37" s="130">
        <f t="shared" si="1"/>
        <v>0</v>
      </c>
      <c r="G37" s="132">
        <f t="shared" si="3"/>
        <v>0</v>
      </c>
      <c r="H37" s="130">
        <f t="shared" si="4"/>
        <v>0</v>
      </c>
      <c r="I37" s="131"/>
    </row>
    <row r="38" spans="2:9" x14ac:dyDescent="0.45">
      <c r="B38" s="6" t="s">
        <v>56</v>
      </c>
      <c r="C38" s="9">
        <f>'9J 16-17 WAFM alloc'!O38</f>
        <v>80034286.818105131</v>
      </c>
      <c r="D38" s="130" t="str">
        <f>VLOOKUP(B38,'9K Floor 16-17'!$B$6:$J$65,9, FALSE)</f>
        <v>N/A</v>
      </c>
      <c r="E38" s="130">
        <f t="shared" si="0"/>
        <v>0</v>
      </c>
      <c r="F38" s="130">
        <f t="shared" si="1"/>
        <v>80034286.818105131</v>
      </c>
      <c r="G38" s="132">
        <f t="shared" si="3"/>
        <v>4.6276200358766978E-2</v>
      </c>
      <c r="H38" s="130">
        <f t="shared" si="4"/>
        <v>-18536.505633766839</v>
      </c>
      <c r="I38" s="131"/>
    </row>
    <row r="39" spans="2:9" x14ac:dyDescent="0.45">
      <c r="B39" s="6" t="s">
        <v>57</v>
      </c>
      <c r="C39" s="9">
        <f>'9J 16-17 WAFM alloc'!O39</f>
        <v>71582912.182858378</v>
      </c>
      <c r="D39" s="130" t="str">
        <f>VLOOKUP(B39,'9K Floor 16-17'!$B$6:$J$65,9, FALSE)</f>
        <v>N/A</v>
      </c>
      <c r="E39" s="130">
        <f t="shared" si="0"/>
        <v>0</v>
      </c>
      <c r="F39" s="130">
        <f t="shared" si="1"/>
        <v>71582912.182858378</v>
      </c>
      <c r="G39" s="132">
        <f t="shared" si="3"/>
        <v>4.1389575869733519E-2</v>
      </c>
      <c r="H39" s="130">
        <f t="shared" si="4"/>
        <v>-16579.107626393245</v>
      </c>
      <c r="I39" s="131"/>
    </row>
    <row r="40" spans="2:9" x14ac:dyDescent="0.45">
      <c r="B40" s="6" t="s">
        <v>16</v>
      </c>
      <c r="C40" s="9">
        <f>'9J 16-17 WAFM alloc'!O40</f>
        <v>2377876.276444369</v>
      </c>
      <c r="D40" s="130" t="str">
        <f>VLOOKUP(B40,'9K Floor 16-17'!$B$6:$J$65,9, FALSE)</f>
        <v>N/A</v>
      </c>
      <c r="E40" s="130">
        <f t="shared" si="0"/>
        <v>0</v>
      </c>
      <c r="F40" s="130">
        <f t="shared" si="1"/>
        <v>2377876.276444369</v>
      </c>
      <c r="G40" s="132">
        <f t="shared" si="3"/>
        <v>1.3748992259678093E-3</v>
      </c>
      <c r="H40" s="130">
        <f t="shared" si="4"/>
        <v>-550.73292643797845</v>
      </c>
      <c r="I40" s="131"/>
    </row>
    <row r="41" spans="2:9" x14ac:dyDescent="0.45">
      <c r="B41" s="6" t="s">
        <v>58</v>
      </c>
      <c r="C41" s="9">
        <f>'9J 16-17 WAFM alloc'!O41</f>
        <v>88400894.441451013</v>
      </c>
      <c r="D41" s="130" t="str">
        <f>VLOOKUP(B41,'9K Floor 16-17'!$B$6:$J$65,9, FALSE)</f>
        <v>N/A</v>
      </c>
      <c r="E41" s="130">
        <f t="shared" si="0"/>
        <v>0</v>
      </c>
      <c r="F41" s="130">
        <f t="shared" si="1"/>
        <v>88400894.441451013</v>
      </c>
      <c r="G41" s="132">
        <f t="shared" si="3"/>
        <v>5.1113812163581053E-2</v>
      </c>
      <c r="H41" s="130">
        <f t="shared" si="4"/>
        <v>-20474.271002978378</v>
      </c>
      <c r="I41" s="131"/>
    </row>
    <row r="42" spans="2:9" x14ac:dyDescent="0.45">
      <c r="B42" s="6" t="s">
        <v>59</v>
      </c>
      <c r="C42" s="9">
        <f>'9J 16-17 WAFM alloc'!O42</f>
        <v>131004322.22166833</v>
      </c>
      <c r="D42" s="130" t="str">
        <f>VLOOKUP(B42,'9K Floor 16-17'!$B$6:$J$65,9, FALSE)</f>
        <v>N/A</v>
      </c>
      <c r="E42" s="130">
        <f t="shared" si="0"/>
        <v>0</v>
      </c>
      <c r="F42" s="130">
        <f t="shared" si="1"/>
        <v>131004322.22166833</v>
      </c>
      <c r="G42" s="132">
        <f t="shared" si="3"/>
        <v>7.5747314107670383E-2</v>
      </c>
      <c r="H42" s="130">
        <f t="shared" si="4"/>
        <v>-30341.525531785261</v>
      </c>
      <c r="I42" s="131"/>
    </row>
    <row r="43" spans="2:9" x14ac:dyDescent="0.45">
      <c r="B43" s="6" t="s">
        <v>60</v>
      </c>
      <c r="C43" s="9">
        <f>'9J 16-17 WAFM alloc'!O43</f>
        <v>56689450.935373209</v>
      </c>
      <c r="D43" s="130" t="str">
        <f>VLOOKUP(B43,'9K Floor 16-17'!$B$6:$J$65,9, FALSE)</f>
        <v>N/A</v>
      </c>
      <c r="E43" s="130">
        <f t="shared" si="0"/>
        <v>0</v>
      </c>
      <c r="F43" s="130">
        <f t="shared" si="1"/>
        <v>56689450.935373209</v>
      </c>
      <c r="G43" s="132">
        <f t="shared" si="3"/>
        <v>3.2778106659162094E-2</v>
      </c>
      <c r="H43" s="130">
        <f t="shared" si="4"/>
        <v>-13129.67689743916</v>
      </c>
      <c r="I43" s="131"/>
    </row>
    <row r="44" spans="2:9" x14ac:dyDescent="0.45">
      <c r="B44" s="6" t="s">
        <v>45</v>
      </c>
      <c r="C44" s="9">
        <f>'9J 16-17 WAFM alloc'!O44</f>
        <v>32167556.32934605</v>
      </c>
      <c r="D44" s="130" t="str">
        <f>VLOOKUP(B44,'9K Floor 16-17'!$B$6:$J$65,9, FALSE)</f>
        <v>N/A</v>
      </c>
      <c r="E44" s="130">
        <f t="shared" si="0"/>
        <v>0</v>
      </c>
      <c r="F44" s="130">
        <f t="shared" si="1"/>
        <v>32167556.32934605</v>
      </c>
      <c r="G44" s="132">
        <f t="shared" si="3"/>
        <v>1.8599432080051912E-2</v>
      </c>
      <c r="H44" s="130">
        <f t="shared" si="4"/>
        <v>-7450.2330542233021</v>
      </c>
      <c r="I44" s="131"/>
    </row>
    <row r="45" spans="2:9" x14ac:dyDescent="0.45">
      <c r="B45" s="6" t="s">
        <v>32</v>
      </c>
      <c r="C45" s="9">
        <f>'9J 16-17 WAFM alloc'!O45</f>
        <v>12529229.186897645</v>
      </c>
      <c r="D45" s="130" t="str">
        <f>VLOOKUP(B45,'9K Floor 16-17'!$B$6:$J$65,9, FALSE)</f>
        <v>N/A</v>
      </c>
      <c r="E45" s="130">
        <f t="shared" si="0"/>
        <v>0</v>
      </c>
      <c r="F45" s="130">
        <f t="shared" si="1"/>
        <v>12529229.186897645</v>
      </c>
      <c r="G45" s="132">
        <f t="shared" si="3"/>
        <v>7.2444591342647486E-3</v>
      </c>
      <c r="H45" s="130">
        <f t="shared" si="4"/>
        <v>-2901.8578991965928</v>
      </c>
      <c r="I45" s="131"/>
    </row>
    <row r="46" spans="2:9" x14ac:dyDescent="0.45">
      <c r="B46" s="6" t="s">
        <v>46</v>
      </c>
      <c r="C46" s="9">
        <f>'9J 16-17 WAFM alloc'!O46</f>
        <v>33168508.691002432</v>
      </c>
      <c r="D46" s="130" t="str">
        <f>VLOOKUP(B46,'9K Floor 16-17'!$B$6:$J$65,9, FALSE)</f>
        <v>N/A</v>
      </c>
      <c r="E46" s="130">
        <f t="shared" si="0"/>
        <v>0</v>
      </c>
      <c r="F46" s="130">
        <f t="shared" si="1"/>
        <v>33168508.691002432</v>
      </c>
      <c r="G46" s="132">
        <f t="shared" si="3"/>
        <v>1.9178187434527233E-2</v>
      </c>
      <c r="H46" s="130">
        <f t="shared" si="4"/>
        <v>-7682.0606849629139</v>
      </c>
      <c r="I46" s="131"/>
    </row>
    <row r="47" spans="2:9" x14ac:dyDescent="0.45">
      <c r="B47" s="6" t="s">
        <v>47</v>
      </c>
      <c r="C47" s="9">
        <f>'9J 16-17 WAFM alloc'!O47</f>
        <v>20159350.441373572</v>
      </c>
      <c r="D47" s="130" t="str">
        <f>VLOOKUP(B47,'9K Floor 16-17'!$B$6:$J$65,9, FALSE)</f>
        <v>N/A</v>
      </c>
      <c r="E47" s="130">
        <f t="shared" si="0"/>
        <v>0</v>
      </c>
      <c r="F47" s="130">
        <f t="shared" si="1"/>
        <v>20159350.441373572</v>
      </c>
      <c r="G47" s="132">
        <f t="shared" si="3"/>
        <v>1.1656231063166834E-2</v>
      </c>
      <c r="H47" s="130">
        <f t="shared" si="4"/>
        <v>-4669.0478279500021</v>
      </c>
      <c r="I47" s="131"/>
    </row>
    <row r="48" spans="2:9" x14ac:dyDescent="0.45">
      <c r="B48" s="6" t="s">
        <v>61</v>
      </c>
      <c r="C48" s="9">
        <f>'9J 16-17 WAFM alloc'!O48</f>
        <v>74402032.426117092</v>
      </c>
      <c r="D48" s="130" t="str">
        <f>VLOOKUP(B48,'9K Floor 16-17'!$B$6:$J$65,9, FALSE)</f>
        <v>N/A</v>
      </c>
      <c r="E48" s="130">
        <f t="shared" si="0"/>
        <v>0</v>
      </c>
      <c r="F48" s="130">
        <f t="shared" si="1"/>
        <v>74402032.426117092</v>
      </c>
      <c r="G48" s="132">
        <f t="shared" si="3"/>
        <v>4.3019604428730866E-2</v>
      </c>
      <c r="H48" s="130">
        <f t="shared" si="4"/>
        <v>-17232.035769430186</v>
      </c>
      <c r="I48" s="131"/>
    </row>
    <row r="49" spans="2:9" x14ac:dyDescent="0.45">
      <c r="B49" s="6" t="s">
        <v>33</v>
      </c>
      <c r="C49" s="9">
        <f>'9J 16-17 WAFM alloc'!O49</f>
        <v>11285952.506726056</v>
      </c>
      <c r="D49" s="130" t="str">
        <f>VLOOKUP(B49,'9K Floor 16-17'!$B$6:$J$65,9, FALSE)</f>
        <v>N/A</v>
      </c>
      <c r="E49" s="130">
        <f t="shared" si="0"/>
        <v>0</v>
      </c>
      <c r="F49" s="130">
        <f t="shared" si="1"/>
        <v>11285952.506726056</v>
      </c>
      <c r="G49" s="132">
        <f t="shared" si="3"/>
        <v>6.525590721233699E-3</v>
      </c>
      <c r="H49" s="130">
        <f t="shared" si="4"/>
        <v>-2613.9062461918188</v>
      </c>
      <c r="I49" s="131"/>
    </row>
    <row r="50" spans="2:9" x14ac:dyDescent="0.45">
      <c r="B50" s="6" t="s">
        <v>34</v>
      </c>
      <c r="C50" s="9">
        <f>'9J 16-17 WAFM alloc'!O50</f>
        <v>9824909.6499454584</v>
      </c>
      <c r="D50" s="130" t="str">
        <f>VLOOKUP(B50,'9K Floor 16-17'!$B$6:$J$65,9, FALSE)</f>
        <v>N/A</v>
      </c>
      <c r="E50" s="130">
        <f t="shared" si="0"/>
        <v>0</v>
      </c>
      <c r="F50" s="130">
        <f t="shared" si="1"/>
        <v>9824909.6499454584</v>
      </c>
      <c r="G50" s="132">
        <f t="shared" si="3"/>
        <v>5.6808088825851489E-3</v>
      </c>
      <c r="H50" s="130">
        <f t="shared" si="4"/>
        <v>-2275.5184098956152</v>
      </c>
      <c r="I50" s="131"/>
    </row>
    <row r="51" spans="2:9" x14ac:dyDescent="0.45">
      <c r="B51" s="6" t="s">
        <v>17</v>
      </c>
      <c r="C51" s="9">
        <f>'9J 16-17 WAFM alloc'!O51</f>
        <v>721629.89393614954</v>
      </c>
      <c r="D51" s="130">
        <f>VLOOKUP(B51,'9K Floor 16-17'!$B$6:$J$65,9, FALSE)</f>
        <v>750000</v>
      </c>
      <c r="E51" s="130">
        <f t="shared" si="0"/>
        <v>28370.106063850457</v>
      </c>
      <c r="F51" s="130">
        <f t="shared" si="1"/>
        <v>0</v>
      </c>
      <c r="G51" s="132">
        <f t="shared" si="3"/>
        <v>0</v>
      </c>
      <c r="H51" s="130">
        <f t="shared" si="4"/>
        <v>0</v>
      </c>
      <c r="I51" s="131"/>
    </row>
    <row r="52" spans="2:9" x14ac:dyDescent="0.45">
      <c r="B52" s="6" t="s">
        <v>35</v>
      </c>
      <c r="C52" s="9">
        <f>'9J 16-17 WAFM alloc'!O52</f>
        <v>2901425.5696272422</v>
      </c>
      <c r="D52" s="130" t="str">
        <f>VLOOKUP(B52,'9K Floor 16-17'!$B$6:$J$65,9, FALSE)</f>
        <v>N/A</v>
      </c>
      <c r="E52" s="130">
        <f t="shared" si="0"/>
        <v>0</v>
      </c>
      <c r="F52" s="130">
        <f t="shared" si="1"/>
        <v>2901425.5696272422</v>
      </c>
      <c r="G52" s="132">
        <f t="shared" si="3"/>
        <v>1.6776178850855502E-3</v>
      </c>
      <c r="H52" s="130">
        <f t="shared" si="4"/>
        <v>-671.99063745744604</v>
      </c>
      <c r="I52" s="131"/>
    </row>
    <row r="53" spans="2:9" x14ac:dyDescent="0.45">
      <c r="B53" s="6" t="s">
        <v>48</v>
      </c>
      <c r="C53" s="9">
        <f>'9J 16-17 WAFM alloc'!O53</f>
        <v>19376109.202687576</v>
      </c>
      <c r="D53" s="130" t="str">
        <f>VLOOKUP(B53,'9K Floor 16-17'!$B$6:$J$65,9, FALSE)</f>
        <v>N/A</v>
      </c>
      <c r="E53" s="130">
        <f t="shared" si="0"/>
        <v>0</v>
      </c>
      <c r="F53" s="130">
        <f t="shared" si="1"/>
        <v>19376109.202687576</v>
      </c>
      <c r="G53" s="132">
        <f t="shared" si="3"/>
        <v>1.1203357302036716E-2</v>
      </c>
      <c r="H53" s="130">
        <f t="shared" si="4"/>
        <v>-4487.6436296905995</v>
      </c>
      <c r="I53" s="131"/>
    </row>
    <row r="54" spans="2:9" x14ac:dyDescent="0.45">
      <c r="B54" s="6" t="s">
        <v>49</v>
      </c>
      <c r="C54" s="9">
        <f>'9J 16-17 WAFM alloc'!O54</f>
        <v>22269968.463906072</v>
      </c>
      <c r="D54" s="130" t="str">
        <f>VLOOKUP(B54,'9K Floor 16-17'!$B$6:$J$65,9, FALSE)</f>
        <v>N/A</v>
      </c>
      <c r="E54" s="130">
        <f t="shared" si="0"/>
        <v>0</v>
      </c>
      <c r="F54" s="130">
        <f t="shared" si="1"/>
        <v>22269968.463906072</v>
      </c>
      <c r="G54" s="132">
        <f t="shared" si="3"/>
        <v>1.2876600312080334E-2</v>
      </c>
      <c r="H54" s="130">
        <f t="shared" si="4"/>
        <v>-5157.8818567246935</v>
      </c>
      <c r="I54" s="131"/>
    </row>
    <row r="55" spans="2:9" x14ac:dyDescent="0.45">
      <c r="B55" s="6" t="s">
        <v>50</v>
      </c>
      <c r="C55" s="9">
        <f>'9J 16-17 WAFM alloc'!O55</f>
        <v>20654344.806373693</v>
      </c>
      <c r="D55" s="130" t="str">
        <f>VLOOKUP(B55,'9K Floor 16-17'!$B$6:$J$65,9, FALSE)</f>
        <v>N/A</v>
      </c>
      <c r="E55" s="130">
        <f t="shared" si="0"/>
        <v>0</v>
      </c>
      <c r="F55" s="130">
        <f t="shared" si="1"/>
        <v>20654344.806373693</v>
      </c>
      <c r="G55" s="132">
        <f t="shared" si="3"/>
        <v>1.1942439128758347E-2</v>
      </c>
      <c r="H55" s="130">
        <f t="shared" si="4"/>
        <v>-4783.6920160885275</v>
      </c>
      <c r="I55" s="131"/>
    </row>
    <row r="56" spans="2:9" x14ac:dyDescent="0.45">
      <c r="B56" s="6" t="s">
        <v>36</v>
      </c>
      <c r="C56" s="9">
        <f>'9J 16-17 WAFM alloc'!O56</f>
        <v>4646162.5769185796</v>
      </c>
      <c r="D56" s="130" t="str">
        <f>VLOOKUP(B56,'9K Floor 16-17'!$B$6:$J$65,9, FALSE)</f>
        <v>N/A</v>
      </c>
      <c r="E56" s="130">
        <f t="shared" si="0"/>
        <v>0</v>
      </c>
      <c r="F56" s="130">
        <f t="shared" si="1"/>
        <v>4646162.5769185796</v>
      </c>
      <c r="G56" s="132">
        <f t="shared" si="3"/>
        <v>2.6864330133601071E-3</v>
      </c>
      <c r="H56" s="130">
        <f t="shared" si="4"/>
        <v>-1076.0840410583287</v>
      </c>
      <c r="I56" s="131"/>
    </row>
    <row r="57" spans="2:9" x14ac:dyDescent="0.45">
      <c r="B57" s="6" t="s">
        <v>37</v>
      </c>
      <c r="C57" s="9">
        <f>'9J 16-17 WAFM alloc'!O57</f>
        <v>3738288.1606522701</v>
      </c>
      <c r="D57" s="130" t="str">
        <f>VLOOKUP(B57,'9K Floor 16-17'!$B$6:$J$65,9, FALSE)</f>
        <v>N/A</v>
      </c>
      <c r="E57" s="130">
        <f t="shared" si="0"/>
        <v>0</v>
      </c>
      <c r="F57" s="130">
        <f t="shared" si="1"/>
        <v>3738288.1606522701</v>
      </c>
      <c r="G57" s="132">
        <f t="shared" si="3"/>
        <v>2.1614957638632542E-3</v>
      </c>
      <c r="H57" s="130">
        <f t="shared" si="4"/>
        <v>-865.81391932762256</v>
      </c>
      <c r="I57" s="131"/>
    </row>
    <row r="58" spans="2:9" x14ac:dyDescent="0.45">
      <c r="B58" s="6" t="s">
        <v>18</v>
      </c>
      <c r="C58" s="9">
        <f>'9J 16-17 WAFM alloc'!O58</f>
        <v>1328834.4712972513</v>
      </c>
      <c r="D58" s="130" t="str">
        <f>VLOOKUP(B58,'9K Floor 16-17'!$B$6:$J$65,9, FALSE)</f>
        <v>N/A</v>
      </c>
      <c r="E58" s="130">
        <f t="shared" si="0"/>
        <v>0</v>
      </c>
      <c r="F58" s="130">
        <f t="shared" si="1"/>
        <v>1328834.4712972513</v>
      </c>
      <c r="G58" s="132">
        <f t="shared" si="3"/>
        <v>7.6833832951050821E-4</v>
      </c>
      <c r="H58" s="130">
        <f t="shared" si="4"/>
        <v>-307.76744121586785</v>
      </c>
      <c r="I58" s="131"/>
    </row>
    <row r="59" spans="2:9" x14ac:dyDescent="0.45">
      <c r="B59" s="6" t="s">
        <v>51</v>
      </c>
      <c r="C59" s="9">
        <f>'9J 16-17 WAFM alloc'!O59</f>
        <v>17000073.24134827</v>
      </c>
      <c r="D59" s="130" t="str">
        <f>VLOOKUP(B59,'9K Floor 16-17'!$B$6:$J$65,9, FALSE)</f>
        <v>N/A</v>
      </c>
      <c r="E59" s="130">
        <f t="shared" si="0"/>
        <v>0</v>
      </c>
      <c r="F59" s="130">
        <f t="shared" si="1"/>
        <v>17000073.24134827</v>
      </c>
      <c r="G59" s="132">
        <f t="shared" si="3"/>
        <v>9.8295221549020029E-3</v>
      </c>
      <c r="H59" s="130">
        <f t="shared" si="4"/>
        <v>-3937.3369332181655</v>
      </c>
      <c r="I59" s="131"/>
    </row>
    <row r="60" spans="2:9" x14ac:dyDescent="0.45">
      <c r="B60" s="6" t="s">
        <v>38</v>
      </c>
      <c r="C60" s="9">
        <f>'9J 16-17 WAFM alloc'!O60</f>
        <v>2867045.5718103624</v>
      </c>
      <c r="D60" s="130" t="str">
        <f>VLOOKUP(B60,'9K Floor 16-17'!$B$6:$J$65,9, FALSE)</f>
        <v>N/A</v>
      </c>
      <c r="E60" s="130">
        <f t="shared" si="0"/>
        <v>0</v>
      </c>
      <c r="F60" s="130">
        <f t="shared" si="1"/>
        <v>2867045.5718103624</v>
      </c>
      <c r="G60" s="132">
        <f t="shared" si="3"/>
        <v>1.6577392089511115E-3</v>
      </c>
      <c r="H60" s="130">
        <f t="shared" si="4"/>
        <v>-664.02798734137957</v>
      </c>
      <c r="I60" s="131"/>
    </row>
    <row r="61" spans="2:9" x14ac:dyDescent="0.45">
      <c r="B61" s="6" t="s">
        <v>52</v>
      </c>
      <c r="C61" s="9">
        <f>'9J 16-17 WAFM alloc'!O61</f>
        <v>32081744.640386559</v>
      </c>
      <c r="D61" s="130" t="str">
        <f>VLOOKUP(B61,'9K Floor 16-17'!$B$6:$J$65,9, FALSE)</f>
        <v>N/A</v>
      </c>
      <c r="E61" s="130">
        <f t="shared" si="0"/>
        <v>0</v>
      </c>
      <c r="F61" s="130">
        <f t="shared" si="1"/>
        <v>32081744.640386559</v>
      </c>
      <c r="G61" s="132">
        <f t="shared" si="3"/>
        <v>1.8549815358653014E-2</v>
      </c>
      <c r="H61" s="130">
        <f t="shared" si="4"/>
        <v>-7430.3584614821229</v>
      </c>
      <c r="I61" s="131"/>
    </row>
    <row r="62" spans="2:9" x14ac:dyDescent="0.45">
      <c r="B62" s="6" t="s">
        <v>39</v>
      </c>
      <c r="C62" s="9">
        <f>'9J 16-17 WAFM alloc'!O62</f>
        <v>8393536.7146121636</v>
      </c>
      <c r="D62" s="130" t="str">
        <f>VLOOKUP(B62,'9K Floor 16-17'!$B$6:$J$65,9, FALSE)</f>
        <v>N/A</v>
      </c>
      <c r="E62" s="130">
        <f t="shared" si="0"/>
        <v>0</v>
      </c>
      <c r="F62" s="130">
        <f t="shared" si="1"/>
        <v>8393536.7146121636</v>
      </c>
      <c r="G62" s="132">
        <f t="shared" si="3"/>
        <v>4.8531823318027209E-3</v>
      </c>
      <c r="H62" s="130">
        <f t="shared" si="4"/>
        <v>-1944.0023367889969</v>
      </c>
      <c r="I62" s="131"/>
    </row>
    <row r="63" spans="2:9" x14ac:dyDescent="0.45">
      <c r="B63" s="6" t="s">
        <v>40</v>
      </c>
      <c r="C63" s="9">
        <f>'9J 16-17 WAFM alloc'!O63</f>
        <v>4319392.9961168561</v>
      </c>
      <c r="D63" s="130" t="str">
        <f>VLOOKUP(B63,'9K Floor 16-17'!$B$6:$J$65,9, FALSE)</f>
        <v>N/A</v>
      </c>
      <c r="E63" s="130">
        <f t="shared" si="0"/>
        <v>0</v>
      </c>
      <c r="F63" s="130">
        <f t="shared" si="1"/>
        <v>4319392.9961168561</v>
      </c>
      <c r="G63" s="132">
        <f t="shared" si="3"/>
        <v>2.497493307722472E-3</v>
      </c>
      <c r="H63" s="130">
        <f t="shared" si="4"/>
        <v>-1000.4019001123994</v>
      </c>
      <c r="I63" s="131"/>
    </row>
    <row r="64" spans="2:9" x14ac:dyDescent="0.45">
      <c r="B64" s="8" t="s">
        <v>0</v>
      </c>
      <c r="C64" s="7">
        <f>SUM(C6:C63)</f>
        <v>1737291128.7371073</v>
      </c>
      <c r="D64" s="129">
        <f t="shared" ref="D64:H64" si="5">SUM(D6:D63)</f>
        <v>8200371.6712571001</v>
      </c>
      <c r="E64" s="129">
        <f t="shared" si="5"/>
        <v>400562.39470955438</v>
      </c>
      <c r="F64" s="129">
        <f t="shared" si="5"/>
        <v>1729491319.4605598</v>
      </c>
      <c r="G64" s="142">
        <f t="shared" si="5"/>
        <v>1.0000000000000002</v>
      </c>
      <c r="H64" s="129">
        <f t="shared" si="5"/>
        <v>-400562.39470955433</v>
      </c>
      <c r="I64" s="131"/>
    </row>
    <row r="65" spans="2:3" x14ac:dyDescent="0.45">
      <c r="C65" s="131"/>
    </row>
    <row r="66" spans="2:3" x14ac:dyDescent="0.45">
      <c r="B66" s="15"/>
      <c r="C66" s="131"/>
    </row>
    <row r="67" spans="2:3" x14ac:dyDescent="0.45">
      <c r="C67" s="47"/>
    </row>
  </sheetData>
  <printOptions horizontalCentered="1"/>
  <pageMargins left="0.2" right="0.2" top="0.5" bottom="0.25" header="0.3" footer="0.3"/>
  <pageSetup scale="66" orientation="portrait" r:id="rId1"/>
  <headerFooter>
    <oddHeader>&amp;R&amp;"-,Bold"&amp;14 9L</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A- Summary</vt:lpstr>
      <vt:lpstr>B - Allocation by GL</vt:lpstr>
      <vt:lpstr>C  - Beginning Base</vt:lpstr>
      <vt:lpstr>D - Benefits</vt:lpstr>
      <vt:lpstr>E -  Criminal Justice Alloc</vt:lpstr>
      <vt:lpstr>F - FY 17-18 Alloc and Realloc</vt:lpstr>
      <vt:lpstr>G -  Preliminary 1% Reduction</vt:lpstr>
      <vt:lpstr>H -  $22M in new CAC Funding</vt:lpstr>
      <vt:lpstr>WAFM Adjustments</vt:lpstr>
      <vt:lpstr>WAFM Analysis</vt:lpstr>
      <vt:lpstr>Average RAS salary</vt:lpstr>
      <vt:lpstr>Hard and variable floor</vt:lpstr>
      <vt:lpstr>9I FY 16-17 Alloc and Realloc</vt:lpstr>
      <vt:lpstr>9J 16-17 WAFM alloc</vt:lpstr>
      <vt:lpstr>9K Floor 16-17</vt:lpstr>
      <vt:lpstr>9L floor adjustment 16-17</vt:lpstr>
      <vt:lpstr>'9I FY 16-17 Alloc and Realloc'!Print_Area</vt:lpstr>
      <vt:lpstr>'9K Floor 16-17'!Print_Area</vt:lpstr>
      <vt:lpstr>'C  - Beginning Base'!Print_Area</vt:lpstr>
      <vt:lpstr>'D - Benefits'!Print_Area</vt:lpstr>
      <vt:lpstr>'E -  Criminal Justice Alloc'!Print_Area</vt:lpstr>
      <vt:lpstr>'F - FY 17-18 Alloc and Realloc'!Print_Area</vt:lpstr>
      <vt:lpstr>'WAFM Adjustments'!Print_Area</vt:lpstr>
      <vt:lpstr>'WAFM Analysis'!Print_Area</vt:lpstr>
      <vt:lpstr>'9I FY 16-17 Alloc and Realloc'!Print_Titles</vt:lpstr>
      <vt:lpstr>'9J 16-17 WAFM alloc'!Print_Titles</vt:lpstr>
      <vt:lpstr>'9K Floor 16-17'!Print_Titles</vt:lpstr>
      <vt:lpstr>'9L floor adjustment 16-17'!Print_Titles</vt:lpstr>
      <vt:lpstr>'A- Summary'!Print_Titles</vt:lpstr>
      <vt:lpstr>'B - Allocation by GL'!Print_Titles</vt:lpstr>
      <vt:lpstr>'C  - Beginning Base'!Print_Titles</vt:lpstr>
      <vt:lpstr>'F - FY 17-18 Alloc and Realloc'!Print_Titles</vt:lpstr>
      <vt:lpstr>'G -  Preliminary 1% Reduction'!Print_Titles</vt:lpstr>
      <vt:lpstr>'WAFM Adjustments'!Print_Titles</vt:lpstr>
      <vt:lpstr>'WAFM Analysis'!Print_Titles</vt:lpstr>
    </vt:vector>
  </TitlesOfParts>
  <Company>Administrative Office of the Courts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DMacLeod</dc:creator>
  <cp:lastModifiedBy>Blihovde, Suzanne</cp:lastModifiedBy>
  <cp:lastPrinted>2017-07-27T14:57:04Z</cp:lastPrinted>
  <dcterms:created xsi:type="dcterms:W3CDTF">2012-06-26T18:06:24Z</dcterms:created>
  <dcterms:modified xsi:type="dcterms:W3CDTF">2017-07-28T17:39:24Z</dcterms:modified>
</cp:coreProperties>
</file>