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defaultThemeVersion="124226"/>
  <mc:AlternateContent xmlns:mc="http://schemas.openxmlformats.org/markup-compatibility/2006">
    <mc:Choice Requires="x15">
      <x15ac:absPath xmlns:x15ac="http://schemas.microsoft.com/office/spreadsheetml/2010/11/ac" url="C:\Users\mallan\AppData\Local\Microsoft\Windows\INetCache\Content.Outlook\4OVAYK5A\"/>
    </mc:Choice>
  </mc:AlternateContent>
  <xr:revisionPtr revIDLastSave="0" documentId="13_ncr:1_{AD4E575C-76FD-4F2F-8379-A3BB297E87DD}" xr6:coauthVersionLast="45" xr6:coauthVersionMax="45" xr10:uidLastSave="{00000000-0000-0000-0000-000000000000}"/>
  <bookViews>
    <workbookView xWindow="-120" yWindow="-120" windowWidth="29040" windowHeight="15840" tabRatio="798" firstSheet="1" activeTab="1" xr2:uid="{00000000-000D-0000-FFFF-FFFF00000000}"/>
  </bookViews>
  <sheets>
    <sheet name="README" sheetId="142" state="hidden" r:id="rId1"/>
    <sheet name="WF Need" sheetId="41" r:id="rId2"/>
    <sheet name="BLS" sheetId="73" r:id="rId3"/>
    <sheet name="RAS" sheetId="83" r:id="rId4"/>
    <sheet name="AVG RAS salary" sheetId="80" r:id="rId5"/>
    <sheet name="FTE Allotment Factor" sheetId="72" r:id="rId6"/>
    <sheet name="Program 10" sheetId="143" r:id="rId7"/>
    <sheet name="Program 90" sheetId="146" r:id="rId8"/>
    <sheet name="CEO Salary" sheetId="145" r:id="rId9"/>
    <sheet name="OE&amp;E by Cluster" sheetId="147" r:id="rId10"/>
    <sheet name="AB1058" sheetId="148" r:id="rId11"/>
    <sheet name="Floor Adjustment" sheetId="93" state="hidden" r:id="rId12"/>
    <sheet name="Floors" sheetId="74" state="hidden" r:id="rId13"/>
    <sheet name="SUMMARY" sheetId="141" state="hidden"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_Qtr1" localSheetId="11">#REF!</definedName>
    <definedName name="__Qtr1" localSheetId="12">#REF!</definedName>
    <definedName name="__Qtr1" localSheetId="7">#REF!</definedName>
    <definedName name="__Qtr1">#REF!</definedName>
    <definedName name="__Qtr2" localSheetId="11">#REF!</definedName>
    <definedName name="__Qtr2" localSheetId="12">#REF!</definedName>
    <definedName name="__Qtr2" localSheetId="7">#REF!</definedName>
    <definedName name="__Qtr2">#REF!</definedName>
    <definedName name="__Qtr3" localSheetId="11">#REF!</definedName>
    <definedName name="__Qtr3" localSheetId="12">#REF!</definedName>
    <definedName name="__Qtr3" localSheetId="7">#REF!</definedName>
    <definedName name="__Qtr3">#REF!</definedName>
    <definedName name="__Qtr4" localSheetId="11">#REF!</definedName>
    <definedName name="__Qtr4" localSheetId="7">#REF!</definedName>
    <definedName name="__Qtr4">#REF!</definedName>
    <definedName name="_xlnm._FilterDatabase" localSheetId="11" hidden="1">'Floor Adjustment'!$I$1:$I$74</definedName>
    <definedName name="_GoBack" localSheetId="3">RAS!$C$67</definedName>
    <definedName name="_Qtr1" localSheetId="11">#REF!</definedName>
    <definedName name="_Qtr1" localSheetId="7">#REF!</definedName>
    <definedName name="_Qtr1">#REF!</definedName>
    <definedName name="_Qtr2" localSheetId="11">#REF!</definedName>
    <definedName name="_Qtr2" localSheetId="7">#REF!</definedName>
    <definedName name="_Qtr2">#REF!</definedName>
    <definedName name="_Qtr3" localSheetId="11">#REF!</definedName>
    <definedName name="_Qtr3" localSheetId="7">#REF!</definedName>
    <definedName name="_Qtr3">#REF!</definedName>
    <definedName name="_Qtr4" localSheetId="11">#REF!</definedName>
    <definedName name="_Qtr4" localSheetId="7">#REF!</definedName>
    <definedName name="_Qtr4">#REF!</definedName>
    <definedName name="a" localSheetId="11">#REF!</definedName>
    <definedName name="a" localSheetId="7">#REF!</definedName>
    <definedName name="a">#REF!</definedName>
    <definedName name="ACCOUNTEDPERIODTYPE1" localSheetId="11">#REF!</definedName>
    <definedName name="ACCOUNTEDPERIODTYPE1" localSheetId="7">#REF!</definedName>
    <definedName name="ACCOUNTEDPERIODTYPE1">#REF!</definedName>
    <definedName name="ACCOUNTSEGMENT1" localSheetId="11">#REF!</definedName>
    <definedName name="ACCOUNTSEGMENT1" localSheetId="7">#REF!</definedName>
    <definedName name="ACCOUNTSEGMENT1">#REF!</definedName>
    <definedName name="APPSUSERNAME1" localSheetId="11">#REF!</definedName>
    <definedName name="APPSUSERNAME1" localSheetId="7">#REF!</definedName>
    <definedName name="APPSUSERNAME1">#REF!</definedName>
    <definedName name="base_fee_adjustment" localSheetId="11">#REF!</definedName>
    <definedName name="base_fee_adjustment" localSheetId="7">#REF!</definedName>
    <definedName name="base_fee_adjustment">#REF!</definedName>
    <definedName name="BUDGETCURRENCYCODE1" localSheetId="11">#REF!</definedName>
    <definedName name="BUDGETCURRENCYCODE1" localSheetId="7">#REF!</definedName>
    <definedName name="BUDGETCURRENCYCODE1">#REF!</definedName>
    <definedName name="BUDGETDECIMALPLACES1" localSheetId="11">#REF!</definedName>
    <definedName name="BUDGETDECIMALPLACES1" localSheetId="7">#REF!</definedName>
    <definedName name="BUDGETDECIMALPLACES1">#REF!</definedName>
    <definedName name="BUDGETENTITYID1" localSheetId="11">#REF!</definedName>
    <definedName name="BUDGETENTITYID1" localSheetId="7">#REF!</definedName>
    <definedName name="BUDGETENTITYID1">#REF!</definedName>
    <definedName name="BUDGETGRAPHCORRESPONDING1" localSheetId="11">#REF!</definedName>
    <definedName name="BUDGETGRAPHCORRESPONDING1" localSheetId="7">#REF!</definedName>
    <definedName name="BUDGETGRAPHCORRESPONDING1">#REF!</definedName>
    <definedName name="BUDGETGRAPHINCACTUALS1" localSheetId="11">#REF!</definedName>
    <definedName name="BUDGETGRAPHINCACTUALS1" localSheetId="7">#REF!</definedName>
    <definedName name="BUDGETGRAPHINCACTUALS1">#REF!</definedName>
    <definedName name="BUDGETGRAPHINCBUDGETS1" localSheetId="11">#REF!</definedName>
    <definedName name="BUDGETGRAPHINCBUDGETS1" localSheetId="7">#REF!</definedName>
    <definedName name="BUDGETGRAPHINCBUDGETS1">#REF!</definedName>
    <definedName name="BUDGETGRAPHINCTITLES1" localSheetId="11">#REF!</definedName>
    <definedName name="BUDGETGRAPHINCTITLES1" localSheetId="7">#REF!</definedName>
    <definedName name="BUDGETGRAPHINCTITLES1">#REF!</definedName>
    <definedName name="BUDGETGRAPHINCVARIANCES1" localSheetId="11">#REF!</definedName>
    <definedName name="BUDGETGRAPHINCVARIANCES1" localSheetId="7">#REF!</definedName>
    <definedName name="BUDGETGRAPHINCVARIANCES1">#REF!</definedName>
    <definedName name="BUDGETGRAPHSTYLE1" localSheetId="11">#REF!</definedName>
    <definedName name="BUDGETGRAPHSTYLE1" localSheetId="7">#REF!</definedName>
    <definedName name="BUDGETGRAPHSTYLE1">#REF!</definedName>
    <definedName name="BUDGETHEADINGSBACKCOLOUR1" localSheetId="11">#REF!</definedName>
    <definedName name="BUDGETHEADINGSBACKCOLOUR1" localSheetId="7">#REF!</definedName>
    <definedName name="BUDGETHEADINGSBACKCOLOUR1">#REF!</definedName>
    <definedName name="BUDGETHEADINGSFORECOLOUR1" localSheetId="11">#REF!</definedName>
    <definedName name="BUDGETHEADINGSFORECOLOUR1" localSheetId="7">#REF!</definedName>
    <definedName name="BUDGETHEADINGSFORECOLOUR1">#REF!</definedName>
    <definedName name="BUDGETNAME1" localSheetId="11">#REF!</definedName>
    <definedName name="BUDGETNAME1" localSheetId="7">#REF!</definedName>
    <definedName name="BUDGETNAME1">#REF!</definedName>
    <definedName name="BUDGETORG1" localSheetId="11">#REF!</definedName>
    <definedName name="BUDGETORG1" localSheetId="7">#REF!</definedName>
    <definedName name="BUDGETORG1">#REF!</definedName>
    <definedName name="BUDGETORGFROZEN1" localSheetId="11">#REF!</definedName>
    <definedName name="BUDGETORGFROZEN1" localSheetId="7">#REF!</definedName>
    <definedName name="BUDGETORGFROZEN1">#REF!</definedName>
    <definedName name="BUDGETOUTPUTOPTION1" localSheetId="11">#REF!</definedName>
    <definedName name="BUDGETOUTPUTOPTION1" localSheetId="7">#REF!</definedName>
    <definedName name="BUDGETOUTPUTOPTION1">#REF!</definedName>
    <definedName name="BUDGETPASSWORDREQUIREDFLAG1" localSheetId="11">#REF!</definedName>
    <definedName name="BUDGETPASSWORDREQUIREDFLAG1" localSheetId="7">#REF!</definedName>
    <definedName name="BUDGETPASSWORDREQUIREDFLAG1">#REF!</definedName>
    <definedName name="BUDGETSHOWCRITERIASHEET1" localSheetId="11">#REF!</definedName>
    <definedName name="BUDGETSHOWCRITERIASHEET1" localSheetId="7">#REF!</definedName>
    <definedName name="BUDGETSHOWCRITERIASHEET1">#REF!</definedName>
    <definedName name="BUDGETSTATUS1" localSheetId="11">#REF!</definedName>
    <definedName name="BUDGETSTATUS1" localSheetId="7">#REF!</definedName>
    <definedName name="BUDGETSTATUS1">#REF!</definedName>
    <definedName name="BUDGETTITLEBACKCOLOUR1" localSheetId="11">#REF!</definedName>
    <definedName name="BUDGETTITLEBACKCOLOUR1" localSheetId="7">#REF!</definedName>
    <definedName name="BUDGETTITLEBACKCOLOUR1">#REF!</definedName>
    <definedName name="BUDGETTITLEBORDERCOLOUR1" localSheetId="11">#REF!</definedName>
    <definedName name="BUDGETTITLEBORDERCOLOUR1" localSheetId="7">#REF!</definedName>
    <definedName name="BUDGETTITLEBORDERCOLOUR1">#REF!</definedName>
    <definedName name="BUDGETTITLEFORECOLOUR1" localSheetId="11">#REF!</definedName>
    <definedName name="BUDGETTITLEFORECOLOUR1" localSheetId="7">#REF!</definedName>
    <definedName name="BUDGETTITLEFORECOLOUR1">#REF!</definedName>
    <definedName name="BUDGETVALUESWIDTH1" localSheetId="11">#REF!</definedName>
    <definedName name="BUDGETVALUESWIDTH1" localSheetId="7">#REF!</definedName>
    <definedName name="BUDGETVALUESWIDTH1">#REF!</definedName>
    <definedName name="BUDGETVERSIONID1" localSheetId="11">#REF!</definedName>
    <definedName name="BUDGETVERSIONID1" localSheetId="7">#REF!</definedName>
    <definedName name="BUDGETVERSIONID1">#REF!</definedName>
    <definedName name="ccid" localSheetId="11">[1]Instructions!#REF!</definedName>
    <definedName name="ccid" localSheetId="12">[1]Instructions!#REF!</definedName>
    <definedName name="ccid" localSheetId="7">[1]Instructions!#REF!</definedName>
    <definedName name="ccid">[1]Instructions!#REF!</definedName>
    <definedName name="CHARTOFACCOUNTSID1" localSheetId="11">#REF!</definedName>
    <definedName name="CHARTOFACCOUNTSID1" localSheetId="7">#REF!</definedName>
    <definedName name="CHARTOFACCOUNTSID1">#REF!</definedName>
    <definedName name="Code">'[2]Combo Box'!$D$2:$D$21</definedName>
    <definedName name="CONNECTSTRING1" localSheetId="11">#REF!</definedName>
    <definedName name="CONNECTSTRING1" localSheetId="7">#REF!</definedName>
    <definedName name="CONNECTSTRING1">#REF!</definedName>
    <definedName name="Copy_Area" localSheetId="11">#REF!</definedName>
    <definedName name="Copy_Area" localSheetId="7">#REF!</definedName>
    <definedName name="Copy_Area">#REF!</definedName>
    <definedName name="Court">'[2]Combo Box'!$B$2:$B$60</definedName>
    <definedName name="CourtList">[3]Code!$B$1:$B$59</definedName>
    <definedName name="CREATEGRAPH1" localSheetId="11">#REF!</definedName>
    <definedName name="CREATEGRAPH1" localSheetId="7">#REF!</definedName>
    <definedName name="CREATEGRAPH1">#REF!</definedName>
    <definedName name="Data" localSheetId="11">#REF!</definedName>
    <definedName name="Data" localSheetId="7">#REF!</definedName>
    <definedName name="Data">#REF!</definedName>
    <definedName name="DBNAME1" localSheetId="11">#REF!</definedName>
    <definedName name="DBNAME1" localSheetId="7">#REF!</definedName>
    <definedName name="DBNAME1">#REF!</definedName>
    <definedName name="DBUSERNAME1" localSheetId="11">#REF!</definedName>
    <definedName name="DBUSERNAME1" localSheetId="7">#REF!</definedName>
    <definedName name="DBUSERNAME1">#REF!</definedName>
    <definedName name="DELETELOGICTYPE1" localSheetId="11">#REF!</definedName>
    <definedName name="DELETELOGICTYPE1" localSheetId="7">#REF!</definedName>
    <definedName name="DELETELOGICTYPE1">#REF!</definedName>
    <definedName name="ENDPERIODNAME1" localSheetId="11">#REF!</definedName>
    <definedName name="ENDPERIODNAME1" localSheetId="7">#REF!</definedName>
    <definedName name="ENDPERIODNAME1">#REF!</definedName>
    <definedName name="ENDPERIODNUM1" localSheetId="11">#REF!</definedName>
    <definedName name="ENDPERIODNUM1" localSheetId="7">#REF!</definedName>
    <definedName name="ENDPERIODNUM1">#REF!</definedName>
    <definedName name="ENDPERIODYEAR1" localSheetId="11">#REF!</definedName>
    <definedName name="ENDPERIODYEAR1" localSheetId="7">#REF!</definedName>
    <definedName name="ENDPERIODYEAR1">#REF!</definedName>
    <definedName name="exp">[4]expenditure!$A$5:$G$62</definedName>
    <definedName name="FFAPPCOLNAME1_1" localSheetId="11">#REF!</definedName>
    <definedName name="FFAPPCOLNAME1_1" localSheetId="7">#REF!</definedName>
    <definedName name="FFAPPCOLNAME1_1">#REF!</definedName>
    <definedName name="FFAPPCOLNAME2_1" localSheetId="11">#REF!</definedName>
    <definedName name="FFAPPCOLNAME2_1" localSheetId="7">#REF!</definedName>
    <definedName name="FFAPPCOLNAME2_1">#REF!</definedName>
    <definedName name="FFAPPCOLNAME3_1" localSheetId="11">#REF!</definedName>
    <definedName name="FFAPPCOLNAME3_1" localSheetId="7">#REF!</definedName>
    <definedName name="FFAPPCOLNAME3_1">#REF!</definedName>
    <definedName name="FFAPPCOLNAME4_1" localSheetId="11">#REF!</definedName>
    <definedName name="FFAPPCOLNAME4_1" localSheetId="7">#REF!</definedName>
    <definedName name="FFAPPCOLNAME4_1">#REF!</definedName>
    <definedName name="FFAPPCOLNAME5_1" localSheetId="11">#REF!</definedName>
    <definedName name="FFAPPCOLNAME5_1" localSheetId="7">#REF!</definedName>
    <definedName name="FFAPPCOLNAME5_1">#REF!</definedName>
    <definedName name="FFAPPCOLNAME6_1" localSheetId="11">#REF!</definedName>
    <definedName name="FFAPPCOLNAME6_1" localSheetId="7">#REF!</definedName>
    <definedName name="FFAPPCOLNAME6_1">#REF!</definedName>
    <definedName name="FFAPPCOLNAME7_1" localSheetId="11">#REF!</definedName>
    <definedName name="FFAPPCOLNAME7_1" localSheetId="7">#REF!</definedName>
    <definedName name="FFAPPCOLNAME7_1">#REF!</definedName>
    <definedName name="FFAPPCOLNAME8_1" localSheetId="11">#REF!</definedName>
    <definedName name="FFAPPCOLNAME8_1" localSheetId="7">#REF!</definedName>
    <definedName name="FFAPPCOLNAME8_1">#REF!</definedName>
    <definedName name="FFSEGDESC1_1" localSheetId="11">#REF!</definedName>
    <definedName name="FFSEGDESC1_1" localSheetId="7">#REF!</definedName>
    <definedName name="FFSEGDESC1_1">#REF!</definedName>
    <definedName name="FFSEGDESC2_1" localSheetId="11">#REF!</definedName>
    <definedName name="FFSEGDESC2_1" localSheetId="7">#REF!</definedName>
    <definedName name="FFSEGDESC2_1">#REF!</definedName>
    <definedName name="FFSEGDESC3_1" localSheetId="11">#REF!</definedName>
    <definedName name="FFSEGDESC3_1" localSheetId="7">#REF!</definedName>
    <definedName name="FFSEGDESC3_1">#REF!</definedName>
    <definedName name="FFSEGDESC4_1" localSheetId="11">#REF!</definedName>
    <definedName name="FFSEGDESC4_1" localSheetId="7">#REF!</definedName>
    <definedName name="FFSEGDESC4_1">#REF!</definedName>
    <definedName name="FFSEGDESC5_1" localSheetId="11">#REF!</definedName>
    <definedName name="FFSEGDESC5_1" localSheetId="7">#REF!</definedName>
    <definedName name="FFSEGDESC5_1">#REF!</definedName>
    <definedName name="FFSEGDESC6_1" localSheetId="11">#REF!</definedName>
    <definedName name="FFSEGDESC6_1" localSheetId="7">#REF!</definedName>
    <definedName name="FFSEGDESC6_1">#REF!</definedName>
    <definedName name="FFSEGDESC7_1" localSheetId="11">#REF!</definedName>
    <definedName name="FFSEGDESC7_1" localSheetId="7">#REF!</definedName>
    <definedName name="FFSEGDESC7_1">#REF!</definedName>
    <definedName name="FFSEGDESC8_1" localSheetId="11">#REF!</definedName>
    <definedName name="FFSEGDESC8_1" localSheetId="7">#REF!</definedName>
    <definedName name="FFSEGDESC8_1">#REF!</definedName>
    <definedName name="FFSEGMENT1_1" localSheetId="11">#REF!</definedName>
    <definedName name="FFSEGMENT1_1" localSheetId="7">#REF!</definedName>
    <definedName name="FFSEGMENT1_1">#REF!</definedName>
    <definedName name="FFSEGMENT2_1" localSheetId="11">#REF!</definedName>
    <definedName name="FFSEGMENT2_1" localSheetId="7">#REF!</definedName>
    <definedName name="FFSEGMENT2_1">#REF!</definedName>
    <definedName name="FFSEGMENT3_1" localSheetId="11">#REF!</definedName>
    <definedName name="FFSEGMENT3_1" localSheetId="7">#REF!</definedName>
    <definedName name="FFSEGMENT3_1">#REF!</definedName>
    <definedName name="FFSEGMENT4_1" localSheetId="11">#REF!</definedName>
    <definedName name="FFSEGMENT4_1" localSheetId="7">#REF!</definedName>
    <definedName name="FFSEGMENT4_1">#REF!</definedName>
    <definedName name="FFSEGMENT5_1" localSheetId="11">#REF!</definedName>
    <definedName name="FFSEGMENT5_1" localSheetId="7">#REF!</definedName>
    <definedName name="FFSEGMENT5_1">#REF!</definedName>
    <definedName name="FFSEGMENT6_1" localSheetId="11">#REF!</definedName>
    <definedName name="FFSEGMENT6_1" localSheetId="7">#REF!</definedName>
    <definedName name="FFSEGMENT6_1">#REF!</definedName>
    <definedName name="FFSEGMENT7_1" localSheetId="11">#REF!</definedName>
    <definedName name="FFSEGMENT7_1" localSheetId="7">#REF!</definedName>
    <definedName name="FFSEGMENT7_1">#REF!</definedName>
    <definedName name="FFSEGMENT8_1" localSheetId="11">#REF!</definedName>
    <definedName name="FFSEGMENT8_1" localSheetId="7">#REF!</definedName>
    <definedName name="FFSEGMENT8_1">#REF!</definedName>
    <definedName name="FFSEGSEPARATOR1" localSheetId="11">#REF!</definedName>
    <definedName name="FFSEGSEPARATOR1" localSheetId="7">#REF!</definedName>
    <definedName name="FFSEGSEPARATOR1">#REF!</definedName>
    <definedName name="FiscalYear">'[2]Combo Box'!$C$2:$C$9</definedName>
    <definedName name="FNDNAM1" localSheetId="11">#REF!</definedName>
    <definedName name="FNDNAM1" localSheetId="7">#REF!</definedName>
    <definedName name="FNDNAM1">#REF!</definedName>
    <definedName name="FNDUSERID1" localSheetId="11">#REF!</definedName>
    <definedName name="FNDUSERID1" localSheetId="7">#REF!</definedName>
    <definedName name="FNDUSERID1">#REF!</definedName>
    <definedName name="fte" localSheetId="11">#REF!</definedName>
    <definedName name="fte" localSheetId="7">#REF!</definedName>
    <definedName name="fte">#REF!</definedName>
    <definedName name="FUND">'[2]Combo Box'!$A$2:$A$5</definedName>
    <definedName name="GWYUID1" localSheetId="11">#REF!</definedName>
    <definedName name="GWYUID1" localSheetId="7">#REF!</definedName>
    <definedName name="GWYUID1">#REF!</definedName>
    <definedName name="huntington" localSheetId="11">#REF!</definedName>
    <definedName name="huntington" localSheetId="7">#REF!</definedName>
    <definedName name="huntington">#REF!</definedName>
    <definedName name="Jeff___TC145B11" localSheetId="7">#REF!</definedName>
    <definedName name="Jeff___TC145B11">#REF!</definedName>
    <definedName name="Jeff___TC145B11_QueryA" localSheetId="7">#REF!</definedName>
    <definedName name="Jeff___TC145B11_QueryA">#REF!</definedName>
    <definedName name="Jeff_121511a" localSheetId="7">#REF!</definedName>
    <definedName name="Jeff_121511a">#REF!</definedName>
    <definedName name="method2" localSheetId="11">#REF!</definedName>
    <definedName name="method2" localSheetId="7">#REF!</definedName>
    <definedName name="method2">#REF!</definedName>
    <definedName name="NOOFFFSEGMENTS1" localSheetId="11">#REF!</definedName>
    <definedName name="NOOFFFSEGMENTS1" localSheetId="7">#REF!</definedName>
    <definedName name="NOOFFFSEGMENTS1">#REF!</definedName>
    <definedName name="NOOFPERIODS1" localSheetId="11">#REF!</definedName>
    <definedName name="NOOFPERIODS1" localSheetId="7">#REF!</definedName>
    <definedName name="NOOFPERIODS1">#REF!</definedName>
    <definedName name="oee">[4]OEE!$B$4:$C$7</definedName>
    <definedName name="oee_all">[4]OEE!$B$45:$C$48</definedName>
    <definedName name="oee_noneed">[4]OEE!$B$12:$C$15</definedName>
    <definedName name="PERIODSETNAME1" localSheetId="11">#REF!</definedName>
    <definedName name="PERIODSETNAME1" localSheetId="7">#REF!</definedName>
    <definedName name="PERIODSETNAME1">#REF!</definedName>
    <definedName name="PERIODYEAR1" localSheetId="11">#REF!</definedName>
    <definedName name="PERIODYEAR1" localSheetId="7">#REF!</definedName>
    <definedName name="PERIODYEAR1">#REF!</definedName>
    <definedName name="_xlnm.Print_Area" localSheetId="4">'AVG RAS salary'!$A$1:$H$69</definedName>
    <definedName name="_xlnm.Print_Area" localSheetId="2">BLS!$A$1:$I$66</definedName>
    <definedName name="_xlnm.Print_Area" localSheetId="11">'Floor Adjustment'!$A$1:$M$65</definedName>
    <definedName name="_xlnm.Print_Area" localSheetId="12">Floors!$A$1:$G$3</definedName>
    <definedName name="_xlnm.Print_Area" localSheetId="5">'FTE Allotment Factor'!$A$1:$H$70</definedName>
    <definedName name="_xlnm.Print_Area" localSheetId="3">RAS!$A$1:$S$69</definedName>
    <definedName name="_xlnm.Print_Area" localSheetId="1">'WF Need'!$A$1:$AC$75</definedName>
    <definedName name="Print_Area_MI" localSheetId="11">#REF!</definedName>
    <definedName name="Print_Area_MI" localSheetId="7">#REF!</definedName>
    <definedName name="Print_Area_MI">#REF!</definedName>
    <definedName name="_xlnm.Print_Titles" localSheetId="11">'Floor Adjustment'!$A:$B,'Floor Adjustment'!$4:$5</definedName>
    <definedName name="_xlnm.Print_Titles" localSheetId="5">'FTE Allotment Factor'!$1:$6</definedName>
    <definedName name="_xlnm.Print_Titles" localSheetId="1">'WF Need'!$A:$B,'WF Need'!$4:$6</definedName>
    <definedName name="q" localSheetId="7">'[5]TC145 Template 20140101'!#REF!</definedName>
    <definedName name="q">'[5]TC145 Template 20140101'!#REF!</definedName>
    <definedName name="QtrAll" localSheetId="11">#REF!</definedName>
    <definedName name="QtrAll" localSheetId="12">#REF!</definedName>
    <definedName name="QtrAll" localSheetId="7">#REF!</definedName>
    <definedName name="QtrAll">#REF!</definedName>
    <definedName name="READONLYBACKCOLOUR1" localSheetId="11">#REF!</definedName>
    <definedName name="READONLYBACKCOLOUR1" localSheetId="12">#REF!</definedName>
    <definedName name="READONLYBACKCOLOUR1" localSheetId="7">#REF!</definedName>
    <definedName name="READONLYBACKCOLOUR1">#REF!</definedName>
    <definedName name="READWRITEBACKCOLOUR1" localSheetId="11">#REF!</definedName>
    <definedName name="READWRITEBACKCOLOUR1" localSheetId="7">#REF!</definedName>
    <definedName name="READWRITEBACKCOLOUR1">#REF!</definedName>
    <definedName name="Recover">[6]Macro1!$A$76</definedName>
    <definedName name="ReductionType">'[7]Combo Box'!$A$2:$A$5</definedName>
    <definedName name="REQUIREBUDGETJOURNALSFLAG1" localSheetId="11">#REF!</definedName>
    <definedName name="REQUIREBUDGETJOURNALSFLAG1" localSheetId="12">#REF!</definedName>
    <definedName name="REQUIREBUDGETJOURNALSFLAG1" localSheetId="7">#REF!</definedName>
    <definedName name="REQUIREBUDGETJOURNALSFLAG1">#REF!</definedName>
    <definedName name="RESPONSIBILITYAPPLICATIONID1" localSheetId="11">#REF!</definedName>
    <definedName name="RESPONSIBILITYAPPLICATIONID1" localSheetId="12">#REF!</definedName>
    <definedName name="RESPONSIBILITYAPPLICATIONID1" localSheetId="7">#REF!</definedName>
    <definedName name="RESPONSIBILITYAPPLICATIONID1">#REF!</definedName>
    <definedName name="RESPONSIBILITYID1" localSheetId="11">#REF!</definedName>
    <definedName name="RESPONSIBILITYID1" localSheetId="12">#REF!</definedName>
    <definedName name="RESPONSIBILITYID1" localSheetId="7">#REF!</definedName>
    <definedName name="RESPONSIBILITYID1">#REF!</definedName>
    <definedName name="RESPONSIBILITYNAME1" localSheetId="11">#REF!</definedName>
    <definedName name="RESPONSIBILITYNAME1" localSheetId="7">#REF!</definedName>
    <definedName name="RESPONSIBILITYNAME1">#REF!</definedName>
    <definedName name="ROWSTOUPLOAD1" localSheetId="11">#REF!</definedName>
    <definedName name="ROWSTOUPLOAD1" localSheetId="7">#REF!</definedName>
    <definedName name="ROWSTOUPLOAD1">#REF!</definedName>
    <definedName name="SEG1_DIRECTION1" localSheetId="11">#REF!</definedName>
    <definedName name="SEG1_DIRECTION1" localSheetId="7">#REF!</definedName>
    <definedName name="SEG1_DIRECTION1">#REF!</definedName>
    <definedName name="SEG1_FROM1" localSheetId="11">#REF!</definedName>
    <definedName name="SEG1_FROM1" localSheetId="7">#REF!</definedName>
    <definedName name="SEG1_FROM1">#REF!</definedName>
    <definedName name="SEG1_SORT1" localSheetId="11">#REF!</definedName>
    <definedName name="SEG1_SORT1" localSheetId="7">#REF!</definedName>
    <definedName name="SEG1_SORT1">#REF!</definedName>
    <definedName name="SEG1_TO1" localSheetId="11">#REF!</definedName>
    <definedName name="SEG1_TO1" localSheetId="7">#REF!</definedName>
    <definedName name="SEG1_TO1">#REF!</definedName>
    <definedName name="SEG2_DIRECTION1" localSheetId="11">#REF!</definedName>
    <definedName name="SEG2_DIRECTION1" localSheetId="7">#REF!</definedName>
    <definedName name="SEG2_DIRECTION1">#REF!</definedName>
    <definedName name="SEG2_FROM1" localSheetId="11">#REF!</definedName>
    <definedName name="SEG2_FROM1" localSheetId="7">#REF!</definedName>
    <definedName name="SEG2_FROM1">#REF!</definedName>
    <definedName name="SEG2_SORT1" localSheetId="11">#REF!</definedName>
    <definedName name="SEG2_SORT1" localSheetId="7">#REF!</definedName>
    <definedName name="SEG2_SORT1">#REF!</definedName>
    <definedName name="SEG2_TO1" localSheetId="11">#REF!</definedName>
    <definedName name="SEG2_TO1" localSheetId="7">#REF!</definedName>
    <definedName name="SEG2_TO1">#REF!</definedName>
    <definedName name="SEG3_DIRECTION1" localSheetId="11">#REF!</definedName>
    <definedName name="SEG3_DIRECTION1" localSheetId="7">#REF!</definedName>
    <definedName name="SEG3_DIRECTION1">#REF!</definedName>
    <definedName name="SEG3_FROM1" localSheetId="11">#REF!</definedName>
    <definedName name="SEG3_FROM1" localSheetId="7">#REF!</definedName>
    <definedName name="SEG3_FROM1">#REF!</definedName>
    <definedName name="SEG3_SORT1" localSheetId="11">#REF!</definedName>
    <definedName name="SEG3_SORT1" localSheetId="7">#REF!</definedName>
    <definedName name="SEG3_SORT1">#REF!</definedName>
    <definedName name="SEG3_TO1" localSheetId="11">#REF!</definedName>
    <definedName name="SEG3_TO1" localSheetId="7">#REF!</definedName>
    <definedName name="SEG3_TO1">#REF!</definedName>
    <definedName name="SEG4_DIRECTION1" localSheetId="11">#REF!</definedName>
    <definedName name="SEG4_DIRECTION1" localSheetId="7">#REF!</definedName>
    <definedName name="SEG4_DIRECTION1">#REF!</definedName>
    <definedName name="SEG4_FROM1" localSheetId="11">#REF!</definedName>
    <definedName name="SEG4_FROM1" localSheetId="7">#REF!</definedName>
    <definedName name="SEG4_FROM1">#REF!</definedName>
    <definedName name="SEG4_SORT1" localSheetId="11">#REF!</definedName>
    <definedName name="SEG4_SORT1" localSheetId="7">#REF!</definedName>
    <definedName name="SEG4_SORT1">#REF!</definedName>
    <definedName name="SEG4_TO1" localSheetId="11">#REF!</definedName>
    <definedName name="SEG4_TO1" localSheetId="7">#REF!</definedName>
    <definedName name="SEG4_TO1">#REF!</definedName>
    <definedName name="SEG5_DIRECTION1" localSheetId="11">#REF!</definedName>
    <definedName name="SEG5_DIRECTION1" localSheetId="7">#REF!</definedName>
    <definedName name="SEG5_DIRECTION1">#REF!</definedName>
    <definedName name="SEG5_FROM1" localSheetId="11">#REF!</definedName>
    <definedName name="SEG5_FROM1" localSheetId="7">#REF!</definedName>
    <definedName name="SEG5_FROM1">#REF!</definedName>
    <definedName name="SEG5_SORT1" localSheetId="11">#REF!</definedName>
    <definedName name="SEG5_SORT1" localSheetId="7">#REF!</definedName>
    <definedName name="SEG5_SORT1">#REF!</definedName>
    <definedName name="SEG5_TO1" localSheetId="11">#REF!</definedName>
    <definedName name="SEG5_TO1" localSheetId="7">#REF!</definedName>
    <definedName name="SEG5_TO1">#REF!</definedName>
    <definedName name="SEG6_DIRECTION1" localSheetId="11">#REF!</definedName>
    <definedName name="SEG6_DIRECTION1" localSheetId="7">#REF!</definedName>
    <definedName name="SEG6_DIRECTION1">#REF!</definedName>
    <definedName name="SEG6_FROM1" localSheetId="11">#REF!</definedName>
    <definedName name="SEG6_FROM1" localSheetId="7">#REF!</definedName>
    <definedName name="SEG6_FROM1">#REF!</definedName>
    <definedName name="SEG6_SORT1" localSheetId="11">#REF!</definedName>
    <definedName name="SEG6_SORT1" localSheetId="7">#REF!</definedName>
    <definedName name="SEG6_SORT1">#REF!</definedName>
    <definedName name="SEG6_TO1" localSheetId="11">#REF!</definedName>
    <definedName name="SEG6_TO1" localSheetId="7">#REF!</definedName>
    <definedName name="SEG6_TO1">#REF!</definedName>
    <definedName name="SEG7_DIRECTION1" localSheetId="11">#REF!</definedName>
    <definedName name="SEG7_DIRECTION1" localSheetId="7">#REF!</definedName>
    <definedName name="SEG7_DIRECTION1">#REF!</definedName>
    <definedName name="SEG7_FROM1" localSheetId="11">#REF!</definedName>
    <definedName name="SEG7_FROM1" localSheetId="7">#REF!</definedName>
    <definedName name="SEG7_FROM1">#REF!</definedName>
    <definedName name="SEG7_SORT1" localSheetId="11">#REF!</definedName>
    <definedName name="SEG7_SORT1" localSheetId="7">#REF!</definedName>
    <definedName name="SEG7_SORT1">#REF!</definedName>
    <definedName name="SEG7_TO1" localSheetId="11">#REF!</definedName>
    <definedName name="SEG7_TO1" localSheetId="7">#REF!</definedName>
    <definedName name="SEG7_TO1">#REF!</definedName>
    <definedName name="SEG8_DIRECTION1" localSheetId="11">#REF!</definedName>
    <definedName name="SEG8_DIRECTION1" localSheetId="7">#REF!</definedName>
    <definedName name="SEG8_DIRECTION1">#REF!</definedName>
    <definedName name="SEG8_FROM1" localSheetId="11">#REF!</definedName>
    <definedName name="SEG8_FROM1" localSheetId="7">#REF!</definedName>
    <definedName name="SEG8_FROM1">#REF!</definedName>
    <definedName name="SEG8_SORT1" localSheetId="11">#REF!</definedName>
    <definedName name="SEG8_SORT1" localSheetId="7">#REF!</definedName>
    <definedName name="SEG8_SORT1">#REF!</definedName>
    <definedName name="SEG8_TO1" localSheetId="11">#REF!</definedName>
    <definedName name="SEG8_TO1" localSheetId="7">#REF!</definedName>
    <definedName name="SEG8_TO1">#REF!</definedName>
    <definedName name="SETOFBOOKSID1" localSheetId="11">#REF!</definedName>
    <definedName name="SETOFBOOKSID1" localSheetId="7">#REF!</definedName>
    <definedName name="SETOFBOOKSID1">#REF!</definedName>
    <definedName name="SETOFBOOKSNAME1" localSheetId="11">#REF!</definedName>
    <definedName name="SETOFBOOKSNAME1" localSheetId="7">#REF!</definedName>
    <definedName name="SETOFBOOKSNAME1">#REF!</definedName>
    <definedName name="STARTBUDGETPOST1" localSheetId="11">#REF!</definedName>
    <definedName name="STARTBUDGETPOST1" localSheetId="7">#REF!</definedName>
    <definedName name="STARTBUDGETPOST1">#REF!</definedName>
    <definedName name="STARTPERIODNAME1" localSheetId="11">#REF!</definedName>
    <definedName name="STARTPERIODNAME1" localSheetId="7">#REF!</definedName>
    <definedName name="STARTPERIODNAME1">#REF!</definedName>
    <definedName name="STARTPERIODNUM1" localSheetId="11">#REF!</definedName>
    <definedName name="STARTPERIODNUM1" localSheetId="7">#REF!</definedName>
    <definedName name="STARTPERIODNUM1">#REF!</definedName>
    <definedName name="STARTPERIODYEAR1" localSheetId="11">#REF!</definedName>
    <definedName name="STARTPERIODYEAR1" localSheetId="7">#REF!</definedName>
    <definedName name="STARTPERIODYEAR1">#REF!</definedName>
    <definedName name="SuperiorCourt">'[8]TC-145 Template'!$W$1</definedName>
    <definedName name="TableName">"Dummy"</definedName>
    <definedName name="UPDATELOGICTYPE1" localSheetId="11">#REF!</definedName>
    <definedName name="UPDATELOGICTYPE1" localSheetId="7">#REF!</definedName>
    <definedName name="UPDATELOGICTYPE1">#REF!</definedName>
    <definedName name="xxx">[9]Code!$F$1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52" i="41" l="1"/>
  <c r="V52" i="41"/>
  <c r="N59" i="41"/>
  <c r="L59" i="41"/>
  <c r="N60" i="41"/>
  <c r="L60" i="41"/>
  <c r="N61" i="41"/>
  <c r="L61" i="41"/>
  <c r="N62" i="41"/>
  <c r="L62" i="41"/>
  <c r="N63" i="41"/>
  <c r="L63" i="41"/>
  <c r="N64" i="41"/>
  <c r="L64" i="41"/>
  <c r="N53" i="41"/>
  <c r="L53" i="41"/>
  <c r="N54" i="41"/>
  <c r="L54" i="41"/>
  <c r="N55" i="41"/>
  <c r="L55" i="41"/>
  <c r="N56" i="41"/>
  <c r="L56" i="41"/>
  <c r="N57" i="41"/>
  <c r="L57" i="41"/>
  <c r="N58" i="41"/>
  <c r="L58" i="41"/>
  <c r="L52" i="41"/>
  <c r="N23" i="41"/>
  <c r="L23" i="41"/>
  <c r="N24" i="41"/>
  <c r="L24" i="41"/>
  <c r="N25" i="41"/>
  <c r="L25" i="41"/>
  <c r="N26" i="41"/>
  <c r="L26" i="41"/>
  <c r="N27" i="41"/>
  <c r="L27" i="41"/>
  <c r="N28" i="41"/>
  <c r="L28" i="41"/>
  <c r="N29" i="41"/>
  <c r="L29" i="41"/>
  <c r="N30" i="41"/>
  <c r="L30" i="41"/>
  <c r="N31" i="41"/>
  <c r="L31" i="41"/>
  <c r="N32" i="41"/>
  <c r="L32" i="41"/>
  <c r="N33" i="41"/>
  <c r="L33" i="41"/>
  <c r="N34" i="41"/>
  <c r="L34" i="41"/>
  <c r="N35" i="41"/>
  <c r="L35" i="41"/>
  <c r="N36" i="41"/>
  <c r="L36" i="41"/>
  <c r="N37" i="41"/>
  <c r="L37" i="41"/>
  <c r="N38" i="41"/>
  <c r="L38" i="41"/>
  <c r="N39" i="41"/>
  <c r="L39" i="41"/>
  <c r="N40" i="41"/>
  <c r="L40" i="41"/>
  <c r="N41" i="41"/>
  <c r="L41" i="41"/>
  <c r="N42" i="41"/>
  <c r="L42" i="41"/>
  <c r="N43" i="41"/>
  <c r="L43" i="41"/>
  <c r="N44" i="41"/>
  <c r="L44" i="41"/>
  <c r="N45" i="41"/>
  <c r="L45" i="41"/>
  <c r="N46" i="41"/>
  <c r="L46" i="41"/>
  <c r="N47" i="41"/>
  <c r="L47" i="41"/>
  <c r="N48" i="41"/>
  <c r="L48" i="41"/>
  <c r="N49" i="41"/>
  <c r="L49" i="41"/>
  <c r="N50" i="41"/>
  <c r="L50" i="41"/>
  <c r="N51" i="41"/>
  <c r="L51" i="41"/>
  <c r="N13" i="41"/>
  <c r="L13" i="41"/>
  <c r="N14" i="41"/>
  <c r="L14" i="41"/>
  <c r="N15" i="41"/>
  <c r="L15" i="41"/>
  <c r="N16" i="41"/>
  <c r="L16" i="41"/>
  <c r="N17" i="41"/>
  <c r="L17" i="41"/>
  <c r="N18" i="41"/>
  <c r="L18" i="41"/>
  <c r="N19" i="41"/>
  <c r="L19" i="41"/>
  <c r="N20" i="41"/>
  <c r="L20" i="41"/>
  <c r="N21" i="41"/>
  <c r="L21" i="41"/>
  <c r="N22" i="41"/>
  <c r="L22" i="41"/>
  <c r="N9" i="41"/>
  <c r="L9" i="41"/>
  <c r="N10" i="41"/>
  <c r="L10" i="41"/>
  <c r="N11" i="41"/>
  <c r="L11" i="41"/>
  <c r="N12" i="41"/>
  <c r="L12" i="41"/>
  <c r="N8" i="41"/>
  <c r="L8" i="41"/>
  <c r="N7" i="41"/>
  <c r="L7" i="41"/>
  <c r="L65" i="41"/>
  <c r="D7" i="41"/>
  <c r="E7" i="41"/>
  <c r="F7" i="41"/>
  <c r="E6" i="72"/>
  <c r="F6" i="72"/>
  <c r="K6" i="72"/>
  <c r="D8" i="41"/>
  <c r="E8" i="41"/>
  <c r="F8" i="41"/>
  <c r="E7" i="72"/>
  <c r="F7" i="72"/>
  <c r="C7" i="72"/>
  <c r="D7" i="72"/>
  <c r="K7" i="72"/>
  <c r="D9" i="41"/>
  <c r="E9" i="41"/>
  <c r="F9" i="41"/>
  <c r="E8" i="72"/>
  <c r="F8" i="72"/>
  <c r="C8" i="72"/>
  <c r="D8" i="72"/>
  <c r="K8" i="72"/>
  <c r="D10" i="41"/>
  <c r="E10" i="41"/>
  <c r="F10" i="41"/>
  <c r="E9" i="72"/>
  <c r="F9" i="72"/>
  <c r="K9" i="72"/>
  <c r="D11" i="41"/>
  <c r="E11" i="41"/>
  <c r="F11" i="41"/>
  <c r="E10" i="72"/>
  <c r="F10" i="72"/>
  <c r="C10" i="72"/>
  <c r="D10" i="72"/>
  <c r="K10" i="72"/>
  <c r="D12" i="41"/>
  <c r="E12" i="41"/>
  <c r="F12" i="41"/>
  <c r="E11" i="72"/>
  <c r="F11" i="72"/>
  <c r="C11" i="72"/>
  <c r="D11" i="72"/>
  <c r="K11" i="72"/>
  <c r="D13" i="41"/>
  <c r="E13" i="41"/>
  <c r="F13" i="41"/>
  <c r="E12" i="72"/>
  <c r="F12" i="72"/>
  <c r="K12" i="72"/>
  <c r="D14" i="41"/>
  <c r="E14" i="41"/>
  <c r="F14" i="41"/>
  <c r="E13" i="72"/>
  <c r="F13" i="72"/>
  <c r="C13" i="72"/>
  <c r="D13" i="72"/>
  <c r="K13" i="72"/>
  <c r="D15" i="41"/>
  <c r="E15" i="41"/>
  <c r="F15" i="41"/>
  <c r="E14" i="72"/>
  <c r="F14" i="72"/>
  <c r="K14" i="72"/>
  <c r="D16" i="41"/>
  <c r="E16" i="41"/>
  <c r="F16" i="41"/>
  <c r="E15" i="72"/>
  <c r="F15" i="72"/>
  <c r="K15" i="72"/>
  <c r="D17" i="41"/>
  <c r="E17" i="41"/>
  <c r="F17" i="41"/>
  <c r="E16" i="72"/>
  <c r="F16" i="72"/>
  <c r="C16" i="72"/>
  <c r="D16" i="72"/>
  <c r="K16" i="72"/>
  <c r="D18" i="41"/>
  <c r="E18" i="41"/>
  <c r="F18" i="41"/>
  <c r="E17" i="72"/>
  <c r="F17" i="72"/>
  <c r="K17" i="72"/>
  <c r="D19" i="41"/>
  <c r="E19" i="41"/>
  <c r="F19" i="41"/>
  <c r="E18" i="72"/>
  <c r="F18" i="72"/>
  <c r="K18" i="72"/>
  <c r="D20" i="41"/>
  <c r="E20" i="41"/>
  <c r="F20" i="41"/>
  <c r="E19" i="72"/>
  <c r="F19" i="72"/>
  <c r="C19" i="72"/>
  <c r="D19" i="72"/>
  <c r="K19" i="72"/>
  <c r="D21" i="41"/>
  <c r="E21" i="41"/>
  <c r="F21" i="41"/>
  <c r="E20" i="72"/>
  <c r="F20" i="72"/>
  <c r="K20" i="72"/>
  <c r="D22" i="41"/>
  <c r="E22" i="41"/>
  <c r="F22" i="41"/>
  <c r="E21" i="72"/>
  <c r="F21" i="72"/>
  <c r="K21" i="72"/>
  <c r="D23" i="41"/>
  <c r="E23" i="41"/>
  <c r="F23" i="41"/>
  <c r="E22" i="72"/>
  <c r="F22" i="72"/>
  <c r="K22" i="72"/>
  <c r="D24" i="41"/>
  <c r="E24" i="41"/>
  <c r="F24" i="41"/>
  <c r="E23" i="72"/>
  <c r="F23" i="72"/>
  <c r="C23" i="72"/>
  <c r="D23" i="72"/>
  <c r="K23" i="72"/>
  <c r="D25" i="41"/>
  <c r="E25" i="41"/>
  <c r="F25" i="41"/>
  <c r="E24" i="72"/>
  <c r="F24" i="72"/>
  <c r="K24" i="72"/>
  <c r="D26" i="41"/>
  <c r="E26" i="41"/>
  <c r="F26" i="41"/>
  <c r="E25" i="72"/>
  <c r="F25" i="72"/>
  <c r="K25" i="72"/>
  <c r="D27" i="41"/>
  <c r="E27" i="41"/>
  <c r="F27" i="41"/>
  <c r="E26" i="72"/>
  <c r="F26" i="72"/>
  <c r="K26" i="72"/>
  <c r="D28" i="41"/>
  <c r="E28" i="41"/>
  <c r="F28" i="41"/>
  <c r="E27" i="72"/>
  <c r="F27" i="72"/>
  <c r="C27" i="72"/>
  <c r="D27" i="72"/>
  <c r="K27" i="72"/>
  <c r="D29" i="41"/>
  <c r="E29" i="41"/>
  <c r="F29" i="41"/>
  <c r="E28" i="72"/>
  <c r="F28" i="72"/>
  <c r="K28" i="72"/>
  <c r="D30" i="41"/>
  <c r="E30" i="41"/>
  <c r="F30" i="41"/>
  <c r="E29" i="72"/>
  <c r="F29" i="72"/>
  <c r="K29" i="72"/>
  <c r="D31" i="41"/>
  <c r="E31" i="41"/>
  <c r="F31" i="41"/>
  <c r="E30" i="72"/>
  <c r="F30" i="72"/>
  <c r="C30" i="72"/>
  <c r="D30" i="72"/>
  <c r="K30" i="72"/>
  <c r="D32" i="41"/>
  <c r="E32" i="41"/>
  <c r="F32" i="41"/>
  <c r="E31" i="72"/>
  <c r="F31" i="72"/>
  <c r="C31" i="72"/>
  <c r="D31" i="72"/>
  <c r="K31" i="72"/>
  <c r="D33" i="41"/>
  <c r="E33" i="41"/>
  <c r="F33" i="41"/>
  <c r="E32" i="72"/>
  <c r="F32" i="72"/>
  <c r="K32" i="72"/>
  <c r="D34" i="41"/>
  <c r="E34" i="41"/>
  <c r="F34" i="41"/>
  <c r="E33" i="72"/>
  <c r="F33" i="72"/>
  <c r="K33" i="72"/>
  <c r="D35" i="41"/>
  <c r="E35" i="41"/>
  <c r="F35" i="41"/>
  <c r="E34" i="72"/>
  <c r="F34" i="72"/>
  <c r="K34" i="72"/>
  <c r="D36" i="41"/>
  <c r="E36" i="41"/>
  <c r="F36" i="41"/>
  <c r="E35" i="72"/>
  <c r="F35" i="72"/>
  <c r="K35" i="72"/>
  <c r="D37" i="41"/>
  <c r="E37" i="41"/>
  <c r="F37" i="41"/>
  <c r="E36" i="72"/>
  <c r="F36" i="72"/>
  <c r="K36" i="72"/>
  <c r="D38" i="41"/>
  <c r="E38" i="41"/>
  <c r="F38" i="41"/>
  <c r="E37" i="72"/>
  <c r="F37" i="72"/>
  <c r="C37" i="72"/>
  <c r="D37" i="72"/>
  <c r="K37" i="72"/>
  <c r="D39" i="41"/>
  <c r="E39" i="41"/>
  <c r="F39" i="41"/>
  <c r="E38" i="72"/>
  <c r="F38" i="72"/>
  <c r="K38" i="72"/>
  <c r="D40" i="41"/>
  <c r="E40" i="41"/>
  <c r="F40" i="41"/>
  <c r="E39" i="72"/>
  <c r="F39" i="72"/>
  <c r="K39" i="72"/>
  <c r="D41" i="41"/>
  <c r="E41" i="41"/>
  <c r="F41" i="41"/>
  <c r="E40" i="72"/>
  <c r="F40" i="72"/>
  <c r="C40" i="72"/>
  <c r="D40" i="72"/>
  <c r="K40" i="72"/>
  <c r="D42" i="41"/>
  <c r="E42" i="41"/>
  <c r="F42" i="41"/>
  <c r="E41" i="72"/>
  <c r="F41" i="72"/>
  <c r="K41" i="72"/>
  <c r="D43" i="41"/>
  <c r="E43" i="41"/>
  <c r="F43" i="41"/>
  <c r="E42" i="72"/>
  <c r="F42" i="72"/>
  <c r="K42" i="72"/>
  <c r="D44" i="41"/>
  <c r="E44" i="41"/>
  <c r="F44" i="41"/>
  <c r="E43" i="72"/>
  <c r="F43" i="72"/>
  <c r="K43" i="72"/>
  <c r="D45" i="41"/>
  <c r="E45" i="41"/>
  <c r="F45" i="41"/>
  <c r="E44" i="72"/>
  <c r="F44" i="72"/>
  <c r="K44" i="72"/>
  <c r="D46" i="41"/>
  <c r="E46" i="41"/>
  <c r="F46" i="41"/>
  <c r="E45" i="72"/>
  <c r="F45" i="72"/>
  <c r="K45" i="72"/>
  <c r="D47" i="41"/>
  <c r="E47" i="41"/>
  <c r="F47" i="41"/>
  <c r="E46" i="72"/>
  <c r="F46" i="72"/>
  <c r="K46" i="72"/>
  <c r="D48" i="41"/>
  <c r="E48" i="41"/>
  <c r="F48" i="41"/>
  <c r="E47" i="72"/>
  <c r="F47" i="72"/>
  <c r="K47" i="72"/>
  <c r="D49" i="41"/>
  <c r="E49" i="41"/>
  <c r="F49" i="41"/>
  <c r="E48" i="72"/>
  <c r="F48" i="72"/>
  <c r="K48" i="72"/>
  <c r="D50" i="41"/>
  <c r="E50" i="41"/>
  <c r="F50" i="41"/>
  <c r="E49" i="72"/>
  <c r="F49" i="72"/>
  <c r="K49" i="72"/>
  <c r="D51" i="41"/>
  <c r="E51" i="41"/>
  <c r="F51" i="41"/>
  <c r="E50" i="72"/>
  <c r="F50" i="72"/>
  <c r="K50" i="72"/>
  <c r="D52" i="41"/>
  <c r="E52" i="41"/>
  <c r="F52" i="41"/>
  <c r="E51" i="72"/>
  <c r="F51" i="72"/>
  <c r="C51" i="72"/>
  <c r="D51" i="72"/>
  <c r="K51" i="72"/>
  <c r="D53" i="41"/>
  <c r="E53" i="41"/>
  <c r="F53" i="41"/>
  <c r="E52" i="72"/>
  <c r="F52" i="72"/>
  <c r="C52" i="72"/>
  <c r="D52" i="72"/>
  <c r="K52" i="72"/>
  <c r="D54" i="41"/>
  <c r="E54" i="41"/>
  <c r="F54" i="41"/>
  <c r="E53" i="72"/>
  <c r="F53" i="72"/>
  <c r="K53" i="72"/>
  <c r="D55" i="41"/>
  <c r="E55" i="41"/>
  <c r="F55" i="41"/>
  <c r="E54" i="72"/>
  <c r="F54" i="72"/>
  <c r="K54" i="72"/>
  <c r="D56" i="41"/>
  <c r="E56" i="41"/>
  <c r="F56" i="41"/>
  <c r="E55" i="72"/>
  <c r="F55" i="72"/>
  <c r="K55" i="72"/>
  <c r="D57" i="41"/>
  <c r="E57" i="41"/>
  <c r="F57" i="41"/>
  <c r="E56" i="72"/>
  <c r="F56" i="72"/>
  <c r="K56" i="72"/>
  <c r="D58" i="41"/>
  <c r="E58" i="41"/>
  <c r="F58" i="41"/>
  <c r="E57" i="72"/>
  <c r="F57" i="72"/>
  <c r="K57" i="72"/>
  <c r="D59" i="41"/>
  <c r="E59" i="41"/>
  <c r="F59" i="41"/>
  <c r="E58" i="72"/>
  <c r="F58" i="72"/>
  <c r="C58" i="72"/>
  <c r="D58" i="72"/>
  <c r="K58" i="72"/>
  <c r="D60" i="41"/>
  <c r="E60" i="41"/>
  <c r="F60" i="41"/>
  <c r="E59" i="72"/>
  <c r="F59" i="72"/>
  <c r="K59" i="72"/>
  <c r="D61" i="41"/>
  <c r="E61" i="41"/>
  <c r="F61" i="41"/>
  <c r="E60" i="72"/>
  <c r="F60" i="72"/>
  <c r="C60" i="72"/>
  <c r="D60" i="72"/>
  <c r="K60" i="72"/>
  <c r="D62" i="41"/>
  <c r="E62" i="41"/>
  <c r="F62" i="41"/>
  <c r="E61" i="72"/>
  <c r="F61" i="72"/>
  <c r="K61" i="72"/>
  <c r="D63" i="41"/>
  <c r="E63" i="41"/>
  <c r="F63" i="41"/>
  <c r="E62" i="72"/>
  <c r="F62" i="72"/>
  <c r="K62" i="72"/>
  <c r="D64" i="41"/>
  <c r="E64" i="41"/>
  <c r="F64" i="41"/>
  <c r="E63" i="72"/>
  <c r="F63" i="72"/>
  <c r="K63" i="72"/>
  <c r="K64" i="72"/>
  <c r="H66" i="72"/>
  <c r="F64" i="80"/>
  <c r="F6" i="80"/>
  <c r="H7" i="41"/>
  <c r="C6" i="72"/>
  <c r="C63" i="148"/>
  <c r="E6" i="148"/>
  <c r="E7" i="148"/>
  <c r="E8" i="148"/>
  <c r="E9" i="148"/>
  <c r="E10" i="148"/>
  <c r="E11" i="148"/>
  <c r="E12" i="148"/>
  <c r="E13" i="148"/>
  <c r="E14" i="148"/>
  <c r="E15" i="148"/>
  <c r="E16" i="148"/>
  <c r="E17" i="148"/>
  <c r="E18" i="148"/>
  <c r="E19" i="148"/>
  <c r="E20" i="148"/>
  <c r="E21" i="148"/>
  <c r="E22" i="148"/>
  <c r="E23" i="148"/>
  <c r="E24" i="148"/>
  <c r="E25" i="148"/>
  <c r="E26" i="148"/>
  <c r="E27" i="148"/>
  <c r="E28" i="148"/>
  <c r="E29" i="148"/>
  <c r="E30" i="148"/>
  <c r="E31" i="148"/>
  <c r="E32" i="148"/>
  <c r="E33" i="148"/>
  <c r="E34" i="148"/>
  <c r="E35" i="148"/>
  <c r="E36" i="148"/>
  <c r="E37" i="148"/>
  <c r="E38" i="148"/>
  <c r="E39" i="148"/>
  <c r="E40" i="148"/>
  <c r="E41" i="148"/>
  <c r="E42" i="148"/>
  <c r="E43" i="148"/>
  <c r="E44" i="148"/>
  <c r="E45" i="148"/>
  <c r="E46" i="148"/>
  <c r="E47" i="148"/>
  <c r="E48" i="148"/>
  <c r="E49" i="148"/>
  <c r="E50" i="148"/>
  <c r="E51" i="148"/>
  <c r="E52" i="148"/>
  <c r="E53" i="148"/>
  <c r="E54" i="148"/>
  <c r="E55" i="148"/>
  <c r="E56" i="148"/>
  <c r="E57" i="148"/>
  <c r="E58" i="148"/>
  <c r="E59" i="148"/>
  <c r="E60" i="148"/>
  <c r="E61" i="148"/>
  <c r="E62" i="148"/>
  <c r="D63" i="148"/>
  <c r="E5" i="148"/>
  <c r="M65" i="83"/>
  <c r="AA52" i="41"/>
  <c r="AA59" i="41"/>
  <c r="AA8" i="41"/>
  <c r="AA64" i="41"/>
  <c r="AA63" i="41"/>
  <c r="AA62" i="41"/>
  <c r="AA61" i="41"/>
  <c r="AA60" i="41"/>
  <c r="AA58" i="41"/>
  <c r="AA57" i="41"/>
  <c r="AA56" i="41"/>
  <c r="AA55" i="41"/>
  <c r="AA54" i="41"/>
  <c r="AA53" i="41"/>
  <c r="AA51" i="41"/>
  <c r="AA50" i="41"/>
  <c r="AA49" i="41"/>
  <c r="AA48" i="41"/>
  <c r="AA47" i="41"/>
  <c r="AA46" i="41"/>
  <c r="AA45" i="41"/>
  <c r="AA44" i="41"/>
  <c r="AA43" i="41"/>
  <c r="AA42" i="41"/>
  <c r="AA41" i="41"/>
  <c r="AA40" i="41"/>
  <c r="AA39" i="41"/>
  <c r="AA38" i="41"/>
  <c r="AA37" i="41"/>
  <c r="AA36" i="41"/>
  <c r="AA35" i="41"/>
  <c r="AA34" i="41"/>
  <c r="AA33" i="41"/>
  <c r="AA32" i="41"/>
  <c r="AA31" i="41"/>
  <c r="AA30" i="41"/>
  <c r="AA29" i="41"/>
  <c r="AA28" i="41"/>
  <c r="AA27" i="41"/>
  <c r="AA26" i="41"/>
  <c r="AA25" i="41"/>
  <c r="AA24" i="41"/>
  <c r="AA23" i="41"/>
  <c r="AA22" i="41"/>
  <c r="AA21" i="41"/>
  <c r="AA20" i="41"/>
  <c r="AA19" i="41"/>
  <c r="AA18" i="41"/>
  <c r="AA17" i="41"/>
  <c r="AA16" i="41"/>
  <c r="AA15" i="41"/>
  <c r="AA14" i="41"/>
  <c r="AA13" i="41"/>
  <c r="AA12" i="41"/>
  <c r="AA11" i="41"/>
  <c r="AA10" i="41"/>
  <c r="AA9" i="41"/>
  <c r="AA7" i="41"/>
  <c r="F7" i="93"/>
  <c r="G7" i="143"/>
  <c r="R7" i="41"/>
  <c r="C6" i="80"/>
  <c r="D6" i="80"/>
  <c r="C7" i="80"/>
  <c r="D7" i="80"/>
  <c r="C8" i="80"/>
  <c r="D8" i="80"/>
  <c r="C9" i="80"/>
  <c r="D9" i="80"/>
  <c r="D10" i="80"/>
  <c r="C11" i="80"/>
  <c r="D11" i="80"/>
  <c r="C12" i="80"/>
  <c r="D12" i="80"/>
  <c r="C13" i="80"/>
  <c r="C14" i="80"/>
  <c r="D14" i="80"/>
  <c r="C15" i="80"/>
  <c r="D15" i="80"/>
  <c r="C16" i="80"/>
  <c r="D16" i="80"/>
  <c r="C17" i="80"/>
  <c r="C18" i="80"/>
  <c r="D18" i="80"/>
  <c r="C19" i="80"/>
  <c r="D19" i="80"/>
  <c r="C20" i="80"/>
  <c r="D20" i="80"/>
  <c r="C21" i="80"/>
  <c r="D21" i="80"/>
  <c r="D22" i="80"/>
  <c r="C23" i="80"/>
  <c r="D23" i="80"/>
  <c r="C24" i="80"/>
  <c r="D24" i="80"/>
  <c r="C25" i="80"/>
  <c r="D25" i="80"/>
  <c r="D26" i="80"/>
  <c r="C27" i="80"/>
  <c r="D27" i="80"/>
  <c r="C28" i="80"/>
  <c r="D28" i="80"/>
  <c r="C29" i="80"/>
  <c r="C30" i="80"/>
  <c r="D30" i="80"/>
  <c r="C31" i="80"/>
  <c r="D31" i="80"/>
  <c r="C32" i="80"/>
  <c r="D32" i="80"/>
  <c r="C33" i="80"/>
  <c r="C34" i="80"/>
  <c r="D34" i="80"/>
  <c r="C35" i="80"/>
  <c r="D35" i="80"/>
  <c r="C36" i="80"/>
  <c r="D36" i="80"/>
  <c r="C37" i="80"/>
  <c r="D37" i="80"/>
  <c r="D38" i="80"/>
  <c r="C39" i="80"/>
  <c r="D39" i="80"/>
  <c r="C40" i="80"/>
  <c r="D40" i="80"/>
  <c r="C41" i="80"/>
  <c r="D41" i="80"/>
  <c r="F43" i="146"/>
  <c r="S43" i="41"/>
  <c r="D42" i="80"/>
  <c r="C43" i="80"/>
  <c r="D43" i="80"/>
  <c r="C44" i="80"/>
  <c r="D44" i="80"/>
  <c r="C46" i="80"/>
  <c r="D46" i="80"/>
  <c r="C47" i="80"/>
  <c r="D47" i="80"/>
  <c r="C48" i="80"/>
  <c r="D48" i="80"/>
  <c r="C49" i="80"/>
  <c r="C50" i="80"/>
  <c r="D50" i="80"/>
  <c r="C51" i="80"/>
  <c r="D51" i="80"/>
  <c r="C52" i="80"/>
  <c r="D52" i="80"/>
  <c r="C53" i="80"/>
  <c r="D53" i="80"/>
  <c r="D54" i="80"/>
  <c r="C55" i="80"/>
  <c r="D55" i="80"/>
  <c r="C56" i="80"/>
  <c r="D56" i="80"/>
  <c r="C57" i="80"/>
  <c r="D57" i="80"/>
  <c r="D58" i="80"/>
  <c r="C59" i="80"/>
  <c r="D59" i="80"/>
  <c r="C60" i="80"/>
  <c r="D60" i="80"/>
  <c r="C61" i="80"/>
  <c r="C62" i="80"/>
  <c r="D62" i="80"/>
  <c r="C63" i="80"/>
  <c r="D63" i="80"/>
  <c r="F7" i="143"/>
  <c r="Q7" i="41"/>
  <c r="F7" i="146"/>
  <c r="S7" i="41"/>
  <c r="G7" i="146"/>
  <c r="T7" i="41"/>
  <c r="Y56" i="41"/>
  <c r="F8" i="143"/>
  <c r="Q8" i="41"/>
  <c r="G8" i="143"/>
  <c r="R8" i="41"/>
  <c r="F8" i="146"/>
  <c r="S8" i="41"/>
  <c r="G8" i="146"/>
  <c r="T8" i="41"/>
  <c r="F9" i="143"/>
  <c r="Q9" i="41"/>
  <c r="G9" i="143"/>
  <c r="R9" i="41"/>
  <c r="F9" i="146"/>
  <c r="S9" i="41"/>
  <c r="G9" i="146"/>
  <c r="T9" i="41"/>
  <c r="G10" i="143"/>
  <c r="R10" i="41"/>
  <c r="F10" i="146"/>
  <c r="S10" i="41"/>
  <c r="G10" i="146"/>
  <c r="T10" i="41"/>
  <c r="F11" i="143"/>
  <c r="Q11" i="41"/>
  <c r="G11" i="143"/>
  <c r="R11" i="41"/>
  <c r="G11" i="146"/>
  <c r="T11" i="41"/>
  <c r="F12" i="143"/>
  <c r="Q12" i="41"/>
  <c r="G12" i="143"/>
  <c r="R12" i="41"/>
  <c r="F12" i="146"/>
  <c r="S12" i="41"/>
  <c r="G12" i="146"/>
  <c r="T12" i="41"/>
  <c r="F13" i="143"/>
  <c r="Q13" i="41"/>
  <c r="G13" i="143"/>
  <c r="R13" i="41"/>
  <c r="F13" i="146"/>
  <c r="S13" i="41"/>
  <c r="G13" i="146"/>
  <c r="T13" i="41"/>
  <c r="G14" i="143"/>
  <c r="R14" i="41"/>
  <c r="F14" i="146"/>
  <c r="S14" i="41"/>
  <c r="G14" i="146"/>
  <c r="T14" i="41"/>
  <c r="F15" i="143"/>
  <c r="Q15" i="41"/>
  <c r="G15" i="143"/>
  <c r="R15" i="41"/>
  <c r="F15" i="146"/>
  <c r="S15" i="41"/>
  <c r="G15" i="146"/>
  <c r="T15" i="41"/>
  <c r="F16" i="143"/>
  <c r="Q16" i="41"/>
  <c r="G16" i="143"/>
  <c r="R16" i="41"/>
  <c r="F16" i="146"/>
  <c r="S16" i="41"/>
  <c r="G16" i="146"/>
  <c r="T16" i="41"/>
  <c r="F17" i="143"/>
  <c r="Q17" i="41"/>
  <c r="G17" i="143"/>
  <c r="R17" i="41"/>
  <c r="F17" i="146"/>
  <c r="S17" i="41"/>
  <c r="G17" i="146"/>
  <c r="T17" i="41"/>
  <c r="F18" i="143"/>
  <c r="Q18" i="41"/>
  <c r="G18" i="143"/>
  <c r="R18" i="41"/>
  <c r="F18" i="146"/>
  <c r="S18" i="41"/>
  <c r="G18" i="146"/>
  <c r="T18" i="41"/>
  <c r="F19" i="143"/>
  <c r="Q19" i="41"/>
  <c r="G19" i="143"/>
  <c r="R19" i="41"/>
  <c r="F19" i="146"/>
  <c r="S19" i="41"/>
  <c r="G19" i="146"/>
  <c r="T19" i="41"/>
  <c r="F20" i="143"/>
  <c r="Q20" i="41"/>
  <c r="G20" i="143"/>
  <c r="R20" i="41"/>
  <c r="F20" i="146"/>
  <c r="S20" i="41"/>
  <c r="F21" i="143"/>
  <c r="Q21" i="41"/>
  <c r="G21" i="143"/>
  <c r="R21" i="41"/>
  <c r="F21" i="146"/>
  <c r="S21" i="41"/>
  <c r="G21" i="146"/>
  <c r="T21" i="41"/>
  <c r="F22" i="143"/>
  <c r="Q22" i="41"/>
  <c r="G22" i="143"/>
  <c r="R22" i="41"/>
  <c r="F22" i="146"/>
  <c r="S22" i="41"/>
  <c r="G22" i="146"/>
  <c r="T22" i="41"/>
  <c r="F23" i="143"/>
  <c r="Q23" i="41"/>
  <c r="G23" i="143"/>
  <c r="R23" i="41"/>
  <c r="F23" i="146"/>
  <c r="S23" i="41"/>
  <c r="G23" i="146"/>
  <c r="T23" i="41"/>
  <c r="F24" i="143"/>
  <c r="Q24" i="41"/>
  <c r="G24" i="143"/>
  <c r="R24" i="41"/>
  <c r="F24" i="146"/>
  <c r="S24" i="41"/>
  <c r="G24" i="146"/>
  <c r="T24" i="41"/>
  <c r="F25" i="143"/>
  <c r="Q25" i="41"/>
  <c r="G25" i="143"/>
  <c r="R25" i="41"/>
  <c r="F25" i="146"/>
  <c r="S25" i="41"/>
  <c r="G25" i="146"/>
  <c r="T25" i="41"/>
  <c r="F26" i="143"/>
  <c r="Q26" i="41"/>
  <c r="G26" i="143"/>
  <c r="R26" i="41"/>
  <c r="F26" i="146"/>
  <c r="S26" i="41"/>
  <c r="G26" i="146"/>
  <c r="T26" i="41"/>
  <c r="F27" i="143"/>
  <c r="Q27" i="41"/>
  <c r="G27" i="143"/>
  <c r="R27" i="41"/>
  <c r="G27" i="146"/>
  <c r="T27" i="41"/>
  <c r="F28" i="143"/>
  <c r="Q28" i="41"/>
  <c r="G28" i="143"/>
  <c r="R28" i="41"/>
  <c r="F28" i="146"/>
  <c r="S28" i="41"/>
  <c r="G28" i="146"/>
  <c r="T28" i="41"/>
  <c r="F29" i="143"/>
  <c r="Q29" i="41"/>
  <c r="G29" i="143"/>
  <c r="R29" i="41"/>
  <c r="F29" i="146"/>
  <c r="S29" i="41"/>
  <c r="G29" i="146"/>
  <c r="T29" i="41"/>
  <c r="G30" i="143"/>
  <c r="R30" i="41"/>
  <c r="F30" i="146"/>
  <c r="S30" i="41"/>
  <c r="G30" i="146"/>
  <c r="T30" i="41"/>
  <c r="F31" i="143"/>
  <c r="Q31" i="41"/>
  <c r="G31" i="143"/>
  <c r="R31" i="41"/>
  <c r="F31" i="146"/>
  <c r="S31" i="41"/>
  <c r="G31" i="146"/>
  <c r="T31" i="41"/>
  <c r="F32" i="143"/>
  <c r="Q32" i="41"/>
  <c r="G32" i="143"/>
  <c r="R32" i="41"/>
  <c r="G32" i="146"/>
  <c r="T32" i="41"/>
  <c r="F33" i="143"/>
  <c r="Q33" i="41"/>
  <c r="G33" i="143"/>
  <c r="R33" i="41"/>
  <c r="F33" i="146"/>
  <c r="S33" i="41"/>
  <c r="G33" i="146"/>
  <c r="T33" i="41"/>
  <c r="F34" i="143"/>
  <c r="Q34" i="41"/>
  <c r="G34" i="143"/>
  <c r="R34" i="41"/>
  <c r="F34" i="146"/>
  <c r="S34" i="41"/>
  <c r="G34" i="146"/>
  <c r="T34" i="41"/>
  <c r="F35" i="143"/>
  <c r="Q35" i="41"/>
  <c r="G35" i="143"/>
  <c r="R35" i="41"/>
  <c r="F35" i="146"/>
  <c r="S35" i="41"/>
  <c r="G35" i="146"/>
  <c r="T35" i="41"/>
  <c r="F36" i="143"/>
  <c r="Q36" i="41"/>
  <c r="G36" i="143"/>
  <c r="R36" i="41"/>
  <c r="F36" i="146"/>
  <c r="S36" i="41"/>
  <c r="G36" i="146"/>
  <c r="T36" i="41"/>
  <c r="F37" i="143"/>
  <c r="Q37" i="41"/>
  <c r="F37" i="146"/>
  <c r="S37" i="41"/>
  <c r="G37" i="146"/>
  <c r="T37" i="41"/>
  <c r="F38" i="143"/>
  <c r="Q38" i="41"/>
  <c r="F38" i="146"/>
  <c r="S38" i="41"/>
  <c r="G38" i="146"/>
  <c r="T38" i="41"/>
  <c r="F39" i="143"/>
  <c r="Q39" i="41"/>
  <c r="G39" i="143"/>
  <c r="R39" i="41"/>
  <c r="F39" i="146"/>
  <c r="S39" i="41"/>
  <c r="G39" i="146"/>
  <c r="T39" i="41"/>
  <c r="F40" i="143"/>
  <c r="Q40" i="41"/>
  <c r="G40" i="143"/>
  <c r="R40" i="41"/>
  <c r="F40" i="146"/>
  <c r="S40" i="41"/>
  <c r="G40" i="146"/>
  <c r="T40" i="41"/>
  <c r="F41" i="143"/>
  <c r="Q41" i="41"/>
  <c r="G41" i="143"/>
  <c r="R41" i="41"/>
  <c r="F41" i="146"/>
  <c r="S41" i="41"/>
  <c r="G41" i="146"/>
  <c r="T41" i="41"/>
  <c r="F42" i="143"/>
  <c r="Q42" i="41"/>
  <c r="G42" i="143"/>
  <c r="R42" i="41"/>
  <c r="F42" i="146"/>
  <c r="S42" i="41"/>
  <c r="G42" i="146"/>
  <c r="T42" i="41"/>
  <c r="F43" i="143"/>
  <c r="Q43" i="41"/>
  <c r="G43" i="143"/>
  <c r="R43" i="41"/>
  <c r="G43" i="146"/>
  <c r="T43" i="41"/>
  <c r="F44" i="143"/>
  <c r="Q44" i="41"/>
  <c r="G44" i="143"/>
  <c r="R44" i="41"/>
  <c r="F44" i="146"/>
  <c r="S44" i="41"/>
  <c r="G44" i="146"/>
  <c r="T44" i="41"/>
  <c r="F45" i="143"/>
  <c r="Q45" i="41"/>
  <c r="G45" i="143"/>
  <c r="R45" i="41"/>
  <c r="F45" i="146"/>
  <c r="S45" i="41"/>
  <c r="G45" i="146"/>
  <c r="T45" i="41"/>
  <c r="G46" i="143"/>
  <c r="R46" i="41"/>
  <c r="F46" i="146"/>
  <c r="S46" i="41"/>
  <c r="G46" i="146"/>
  <c r="T46" i="41"/>
  <c r="F47" i="143"/>
  <c r="Q47" i="41"/>
  <c r="G47" i="143"/>
  <c r="R47" i="41"/>
  <c r="F47" i="146"/>
  <c r="S47" i="41"/>
  <c r="G47" i="146"/>
  <c r="T47" i="41"/>
  <c r="F48" i="143"/>
  <c r="Q48" i="41"/>
  <c r="G48" i="143"/>
  <c r="R48" i="41"/>
  <c r="F48" i="146"/>
  <c r="S48" i="41"/>
  <c r="G48" i="146"/>
  <c r="T48" i="41"/>
  <c r="F49" i="143"/>
  <c r="Q49" i="41"/>
  <c r="G49" i="143"/>
  <c r="R49" i="41"/>
  <c r="F49" i="146"/>
  <c r="S49" i="41"/>
  <c r="G49" i="146"/>
  <c r="T49" i="41"/>
  <c r="F50" i="143"/>
  <c r="Q50" i="41"/>
  <c r="G50" i="143"/>
  <c r="R50" i="41"/>
  <c r="F50" i="146"/>
  <c r="S50" i="41"/>
  <c r="G50" i="146"/>
  <c r="T50" i="41"/>
  <c r="F51" i="143"/>
  <c r="Q51" i="41"/>
  <c r="G51" i="143"/>
  <c r="R51" i="41"/>
  <c r="F51" i="146"/>
  <c r="S51" i="41"/>
  <c r="G51" i="146"/>
  <c r="T51" i="41"/>
  <c r="F52" i="143"/>
  <c r="Q52" i="41"/>
  <c r="G52" i="143"/>
  <c r="R52" i="41"/>
  <c r="F52" i="146"/>
  <c r="S52" i="41"/>
  <c r="G52" i="146"/>
  <c r="T52" i="41"/>
  <c r="F53" i="143"/>
  <c r="Q53" i="41"/>
  <c r="G53" i="143"/>
  <c r="R53" i="41"/>
  <c r="F53" i="146"/>
  <c r="S53" i="41"/>
  <c r="G53" i="146"/>
  <c r="T53" i="41"/>
  <c r="F54" i="143"/>
  <c r="Q54" i="41"/>
  <c r="G54" i="143"/>
  <c r="R54" i="41"/>
  <c r="F54" i="146"/>
  <c r="S54" i="41"/>
  <c r="G54" i="146"/>
  <c r="T54" i="41"/>
  <c r="F55" i="143"/>
  <c r="Q55" i="41"/>
  <c r="G55" i="143"/>
  <c r="R55" i="41"/>
  <c r="F55" i="146"/>
  <c r="S55" i="41"/>
  <c r="G55" i="146"/>
  <c r="T55" i="41"/>
  <c r="F56" i="143"/>
  <c r="Q56" i="41"/>
  <c r="G56" i="143"/>
  <c r="R56" i="41"/>
  <c r="F56" i="146"/>
  <c r="S56" i="41"/>
  <c r="G56" i="146"/>
  <c r="T56" i="41"/>
  <c r="F57" i="143"/>
  <c r="Q57" i="41"/>
  <c r="G57" i="143"/>
  <c r="R57" i="41"/>
  <c r="F57" i="146"/>
  <c r="S57" i="41"/>
  <c r="G57" i="146"/>
  <c r="T57" i="41"/>
  <c r="F58" i="143"/>
  <c r="Q58" i="41"/>
  <c r="G58" i="143"/>
  <c r="R58" i="41"/>
  <c r="F58" i="146"/>
  <c r="S58" i="41"/>
  <c r="G58" i="146"/>
  <c r="T58" i="41"/>
  <c r="F59" i="143"/>
  <c r="Q59" i="41"/>
  <c r="G59" i="143"/>
  <c r="R59" i="41"/>
  <c r="F59" i="146"/>
  <c r="S59" i="41"/>
  <c r="G59" i="146"/>
  <c r="T59" i="41"/>
  <c r="F60" i="143"/>
  <c r="Q60" i="41"/>
  <c r="G60" i="143"/>
  <c r="R60" i="41"/>
  <c r="F60" i="146"/>
  <c r="S60" i="41"/>
  <c r="G60" i="146"/>
  <c r="T60" i="41"/>
  <c r="F61" i="143"/>
  <c r="Q61" i="41"/>
  <c r="G61" i="143"/>
  <c r="R61" i="41"/>
  <c r="F61" i="146"/>
  <c r="S61" i="41"/>
  <c r="G61" i="146"/>
  <c r="T61" i="41"/>
  <c r="F62" i="143"/>
  <c r="Q62" i="41"/>
  <c r="G62" i="143"/>
  <c r="R62" i="41"/>
  <c r="F62" i="146"/>
  <c r="S62" i="41"/>
  <c r="G62" i="146"/>
  <c r="T62" i="41"/>
  <c r="F63" i="143"/>
  <c r="Q63" i="41"/>
  <c r="G63" i="143"/>
  <c r="R63" i="41"/>
  <c r="F63" i="146"/>
  <c r="S63" i="41"/>
  <c r="G63" i="146"/>
  <c r="T63" i="41"/>
  <c r="F64" i="143"/>
  <c r="Q64" i="41"/>
  <c r="G64" i="143"/>
  <c r="R64" i="41"/>
  <c r="F64" i="146"/>
  <c r="S64" i="41"/>
  <c r="G64" i="146"/>
  <c r="T64" i="41"/>
  <c r="C9" i="72"/>
  <c r="C12" i="72"/>
  <c r="C14" i="72"/>
  <c r="C15" i="72"/>
  <c r="C17" i="72"/>
  <c r="C18" i="72"/>
  <c r="C20" i="72"/>
  <c r="C21" i="72"/>
  <c r="C22" i="72"/>
  <c r="C24" i="72"/>
  <c r="C25" i="72"/>
  <c r="C26" i="72"/>
  <c r="C28" i="72"/>
  <c r="C29" i="72"/>
  <c r="C32" i="72"/>
  <c r="C33" i="72"/>
  <c r="C34" i="72"/>
  <c r="C35" i="72"/>
  <c r="C36" i="72"/>
  <c r="C38" i="72"/>
  <c r="C39" i="72"/>
  <c r="C41" i="72"/>
  <c r="C42" i="72"/>
  <c r="C43" i="72"/>
  <c r="C44" i="72"/>
  <c r="C45" i="72"/>
  <c r="C46" i="72"/>
  <c r="C47" i="72"/>
  <c r="C48" i="72"/>
  <c r="C49" i="72"/>
  <c r="C50" i="72"/>
  <c r="C53" i="72"/>
  <c r="C54" i="72"/>
  <c r="C55" i="72"/>
  <c r="C56" i="72"/>
  <c r="C57" i="72"/>
  <c r="C59" i="72"/>
  <c r="C61" i="72"/>
  <c r="C62" i="72"/>
  <c r="C63" i="72"/>
  <c r="D64" i="145"/>
  <c r="D63" i="145"/>
  <c r="D62" i="145"/>
  <c r="D61" i="145"/>
  <c r="D60" i="145"/>
  <c r="D59" i="145"/>
  <c r="D58" i="145"/>
  <c r="D57" i="145"/>
  <c r="D56" i="145"/>
  <c r="D55" i="145"/>
  <c r="D54" i="145"/>
  <c r="D53" i="145"/>
  <c r="D52" i="145"/>
  <c r="D51" i="145"/>
  <c r="D50" i="145"/>
  <c r="D49" i="145"/>
  <c r="D48" i="145"/>
  <c r="D47" i="145"/>
  <c r="D46" i="145"/>
  <c r="D45" i="145"/>
  <c r="D44" i="145"/>
  <c r="D43" i="145"/>
  <c r="D42" i="145"/>
  <c r="D41" i="145"/>
  <c r="D40" i="145"/>
  <c r="D39" i="145"/>
  <c r="D38" i="145"/>
  <c r="D37" i="145"/>
  <c r="D36" i="145"/>
  <c r="D35" i="145"/>
  <c r="D34" i="145"/>
  <c r="D33" i="145"/>
  <c r="D32" i="145"/>
  <c r="D31" i="145"/>
  <c r="D30" i="145"/>
  <c r="D29" i="145"/>
  <c r="D28" i="145"/>
  <c r="D27" i="145"/>
  <c r="D26" i="145"/>
  <c r="D25" i="145"/>
  <c r="D24" i="145"/>
  <c r="D23" i="145"/>
  <c r="D22" i="145"/>
  <c r="D21" i="145"/>
  <c r="D20" i="145"/>
  <c r="D19" i="145"/>
  <c r="D18" i="145"/>
  <c r="D17" i="145"/>
  <c r="D16" i="145"/>
  <c r="D15" i="145"/>
  <c r="D14" i="145"/>
  <c r="D13" i="145"/>
  <c r="D12" i="145"/>
  <c r="D11" i="145"/>
  <c r="D10" i="145"/>
  <c r="D9" i="145"/>
  <c r="D8" i="145"/>
  <c r="D7" i="145"/>
  <c r="C65" i="143"/>
  <c r="B65" i="143"/>
  <c r="B65" i="146"/>
  <c r="H7" i="93"/>
  <c r="I7" i="93"/>
  <c r="F8" i="93"/>
  <c r="H8" i="93"/>
  <c r="I8" i="93"/>
  <c r="K8" i="93"/>
  <c r="F9" i="93"/>
  <c r="H9" i="93"/>
  <c r="I9" i="93"/>
  <c r="F10" i="93"/>
  <c r="H10" i="93"/>
  <c r="I10" i="93"/>
  <c r="F11" i="93"/>
  <c r="H11" i="93"/>
  <c r="I11" i="93"/>
  <c r="M11" i="93"/>
  <c r="F12" i="93"/>
  <c r="H12" i="93"/>
  <c r="I12" i="93"/>
  <c r="F13" i="93"/>
  <c r="H13" i="93"/>
  <c r="I13" i="93"/>
  <c r="F14" i="93"/>
  <c r="H14" i="93"/>
  <c r="I14" i="93"/>
  <c r="J14" i="93"/>
  <c r="N14" i="93"/>
  <c r="F15" i="93"/>
  <c r="H15" i="93"/>
  <c r="I15" i="93"/>
  <c r="F16" i="93"/>
  <c r="H16" i="93"/>
  <c r="I16" i="93"/>
  <c r="K16" i="93"/>
  <c r="F17" i="93"/>
  <c r="H17" i="93"/>
  <c r="I17" i="93"/>
  <c r="F18" i="93"/>
  <c r="H18" i="93"/>
  <c r="I18" i="93"/>
  <c r="J18" i="93"/>
  <c r="N18" i="93"/>
  <c r="F19" i="93"/>
  <c r="H19" i="93"/>
  <c r="I19" i="93"/>
  <c r="J19" i="93"/>
  <c r="N19" i="93"/>
  <c r="F20" i="93"/>
  <c r="H20" i="93"/>
  <c r="I20" i="93"/>
  <c r="F21" i="93"/>
  <c r="H21" i="93"/>
  <c r="I21" i="93"/>
  <c r="F22" i="93"/>
  <c r="H22" i="93"/>
  <c r="I22" i="93"/>
  <c r="K22" i="93"/>
  <c r="F23" i="93"/>
  <c r="H23" i="93"/>
  <c r="I23" i="93"/>
  <c r="F24" i="93"/>
  <c r="H24" i="93"/>
  <c r="I24" i="93"/>
  <c r="F25" i="93"/>
  <c r="H25" i="93"/>
  <c r="I25" i="93"/>
  <c r="F26" i="93"/>
  <c r="H26" i="93"/>
  <c r="I26" i="93"/>
  <c r="F27" i="93"/>
  <c r="H27" i="93"/>
  <c r="I27" i="93"/>
  <c r="J27" i="93"/>
  <c r="N27" i="93"/>
  <c r="F28" i="93"/>
  <c r="H28" i="93"/>
  <c r="I28" i="93"/>
  <c r="F29" i="93"/>
  <c r="H29" i="93"/>
  <c r="I29" i="93"/>
  <c r="K29" i="93"/>
  <c r="F30" i="93"/>
  <c r="H30" i="93"/>
  <c r="I30" i="93"/>
  <c r="K30" i="93"/>
  <c r="F31" i="93"/>
  <c r="H31" i="93"/>
  <c r="I31" i="93"/>
  <c r="F32" i="93"/>
  <c r="H32" i="93"/>
  <c r="I32" i="93"/>
  <c r="F33" i="93"/>
  <c r="H33" i="93"/>
  <c r="I33" i="93"/>
  <c r="F34" i="93"/>
  <c r="H34" i="93"/>
  <c r="I34" i="93"/>
  <c r="K34" i="93"/>
  <c r="F35" i="93"/>
  <c r="H35" i="93"/>
  <c r="I35" i="93"/>
  <c r="F36" i="93"/>
  <c r="H36" i="93"/>
  <c r="I36" i="93"/>
  <c r="F37" i="93"/>
  <c r="H37" i="93"/>
  <c r="I37" i="93"/>
  <c r="F38" i="93"/>
  <c r="H38" i="93"/>
  <c r="I38" i="93"/>
  <c r="J38" i="93"/>
  <c r="N38" i="93"/>
  <c r="F39" i="93"/>
  <c r="H39" i="93"/>
  <c r="I39" i="93"/>
  <c r="K39" i="93"/>
  <c r="F40" i="93"/>
  <c r="H40" i="93"/>
  <c r="I40" i="93"/>
  <c r="F41" i="93"/>
  <c r="H41" i="93"/>
  <c r="I41" i="93"/>
  <c r="F42" i="93"/>
  <c r="H42" i="93"/>
  <c r="I42" i="93"/>
  <c r="J42" i="93"/>
  <c r="K42" i="93"/>
  <c r="F43" i="93"/>
  <c r="H43" i="93"/>
  <c r="I43" i="93"/>
  <c r="M43" i="93"/>
  <c r="F44" i="93"/>
  <c r="H44" i="93"/>
  <c r="I44" i="93"/>
  <c r="F45" i="93"/>
  <c r="H45" i="93"/>
  <c r="I45" i="93"/>
  <c r="K45" i="93"/>
  <c r="F46" i="93"/>
  <c r="H46" i="93"/>
  <c r="I46" i="93"/>
  <c r="J46" i="93"/>
  <c r="N46" i="93"/>
  <c r="F47" i="93"/>
  <c r="H47" i="93"/>
  <c r="I47" i="93"/>
  <c r="F48" i="93"/>
  <c r="H48" i="93"/>
  <c r="I48" i="93"/>
  <c r="K48" i="93"/>
  <c r="F49" i="93"/>
  <c r="H49" i="93"/>
  <c r="I49" i="93"/>
  <c r="J49" i="93"/>
  <c r="F50" i="93"/>
  <c r="H50" i="93"/>
  <c r="I50" i="93"/>
  <c r="K50" i="93"/>
  <c r="F51" i="93"/>
  <c r="H51" i="93"/>
  <c r="I51" i="93"/>
  <c r="J51" i="93"/>
  <c r="F52" i="93"/>
  <c r="H52" i="93"/>
  <c r="I52" i="93"/>
  <c r="F53" i="93"/>
  <c r="H53" i="93"/>
  <c r="I53" i="93"/>
  <c r="F54" i="93"/>
  <c r="H54" i="93"/>
  <c r="I54" i="93"/>
  <c r="F55" i="93"/>
  <c r="H55" i="93"/>
  <c r="I55" i="93"/>
  <c r="F56" i="93"/>
  <c r="H56" i="93"/>
  <c r="I56" i="93"/>
  <c r="M56" i="93"/>
  <c r="P56" i="93"/>
  <c r="Q56" i="93"/>
  <c r="F57" i="93"/>
  <c r="H57" i="93"/>
  <c r="I57" i="93"/>
  <c r="F58" i="93"/>
  <c r="H58" i="93"/>
  <c r="I58" i="93"/>
  <c r="F59" i="93"/>
  <c r="H59" i="93"/>
  <c r="I59" i="93"/>
  <c r="F60" i="93"/>
  <c r="H60" i="93"/>
  <c r="I60" i="93"/>
  <c r="F61" i="93"/>
  <c r="H61" i="93"/>
  <c r="I61" i="93"/>
  <c r="F62" i="93"/>
  <c r="H62" i="93"/>
  <c r="I62" i="93"/>
  <c r="F63" i="93"/>
  <c r="H63" i="93"/>
  <c r="I63" i="93"/>
  <c r="J63" i="93"/>
  <c r="N63" i="93"/>
  <c r="O63" i="93"/>
  <c r="F64" i="93"/>
  <c r="H64" i="93"/>
  <c r="I64" i="93"/>
  <c r="K64" i="93"/>
  <c r="F65" i="93"/>
  <c r="E65" i="73"/>
  <c r="C65" i="83"/>
  <c r="S65" i="83"/>
  <c r="C3" i="141"/>
  <c r="C4" i="141"/>
  <c r="D4" i="141"/>
  <c r="C5" i="141"/>
  <c r="D5" i="141"/>
  <c r="C6" i="141"/>
  <c r="D6" i="141"/>
  <c r="C7" i="141"/>
  <c r="D7" i="141"/>
  <c r="C8" i="141"/>
  <c r="D8" i="141"/>
  <c r="C9" i="141"/>
  <c r="D9" i="141"/>
  <c r="C10" i="141"/>
  <c r="D10" i="141"/>
  <c r="C11" i="141"/>
  <c r="D11" i="141"/>
  <c r="C12" i="141"/>
  <c r="D12" i="141"/>
  <c r="C13" i="141"/>
  <c r="D13" i="141"/>
  <c r="C14" i="141"/>
  <c r="D14" i="141"/>
  <c r="C15" i="141"/>
  <c r="D15" i="141"/>
  <c r="C16" i="141"/>
  <c r="D16" i="141"/>
  <c r="C17" i="141"/>
  <c r="D17" i="141"/>
  <c r="C18" i="141"/>
  <c r="D18" i="141"/>
  <c r="C19" i="141"/>
  <c r="D19" i="141"/>
  <c r="C20" i="141"/>
  <c r="D20" i="141"/>
  <c r="C21" i="141"/>
  <c r="D21" i="141"/>
  <c r="C22" i="141"/>
  <c r="D22" i="141"/>
  <c r="C23" i="141"/>
  <c r="D23" i="141"/>
  <c r="C24" i="141"/>
  <c r="D24" i="141"/>
  <c r="C25" i="141"/>
  <c r="D25" i="141"/>
  <c r="C26" i="141"/>
  <c r="D26" i="141"/>
  <c r="C27" i="141"/>
  <c r="D27" i="141"/>
  <c r="C28" i="141"/>
  <c r="D28" i="141"/>
  <c r="C29" i="141"/>
  <c r="D29" i="141"/>
  <c r="C30" i="141"/>
  <c r="D30" i="141"/>
  <c r="C31" i="141"/>
  <c r="D31" i="141"/>
  <c r="C32" i="141"/>
  <c r="D32" i="141"/>
  <c r="C33" i="141"/>
  <c r="D33" i="141"/>
  <c r="C34" i="141"/>
  <c r="D34" i="141"/>
  <c r="C35" i="141"/>
  <c r="D35" i="141"/>
  <c r="C36" i="141"/>
  <c r="D36" i="141"/>
  <c r="C37" i="141"/>
  <c r="D37" i="141"/>
  <c r="C38" i="141"/>
  <c r="D38" i="141"/>
  <c r="C39" i="141"/>
  <c r="D39" i="141"/>
  <c r="C40" i="141"/>
  <c r="D40" i="141"/>
  <c r="C41" i="141"/>
  <c r="D41" i="141"/>
  <c r="C42" i="141"/>
  <c r="D42" i="141"/>
  <c r="C43" i="141"/>
  <c r="D43" i="141"/>
  <c r="C44" i="141"/>
  <c r="D44" i="141"/>
  <c r="C45" i="141"/>
  <c r="D45" i="141"/>
  <c r="C46" i="141"/>
  <c r="D46" i="141"/>
  <c r="C47" i="141"/>
  <c r="D47" i="141"/>
  <c r="C48" i="141"/>
  <c r="D48" i="141"/>
  <c r="C49" i="141"/>
  <c r="D49" i="141"/>
  <c r="C50" i="141"/>
  <c r="D50" i="141"/>
  <c r="C51" i="141"/>
  <c r="D51" i="141"/>
  <c r="C52" i="141"/>
  <c r="D52" i="141"/>
  <c r="C53" i="141"/>
  <c r="D53" i="141"/>
  <c r="C54" i="141"/>
  <c r="D54" i="141"/>
  <c r="C55" i="141"/>
  <c r="D55" i="141"/>
  <c r="C56" i="141"/>
  <c r="D56" i="141"/>
  <c r="C57" i="141"/>
  <c r="D57" i="141"/>
  <c r="C58" i="141"/>
  <c r="D58" i="141"/>
  <c r="C59" i="141"/>
  <c r="D59" i="141"/>
  <c r="C60" i="141"/>
  <c r="D60" i="141"/>
  <c r="D3" i="141"/>
  <c r="C61" i="141"/>
  <c r="E4" i="141"/>
  <c r="E5" i="141"/>
  <c r="E6" i="141"/>
  <c r="E7" i="141"/>
  <c r="E8" i="141"/>
  <c r="E9" i="141"/>
  <c r="E10" i="141"/>
  <c r="E11" i="141"/>
  <c r="E12" i="141"/>
  <c r="E13" i="141"/>
  <c r="E14" i="141"/>
  <c r="E15" i="141"/>
  <c r="E16" i="141"/>
  <c r="E17" i="141"/>
  <c r="E18" i="141"/>
  <c r="E19" i="141"/>
  <c r="E20" i="141"/>
  <c r="E21" i="141"/>
  <c r="E22" i="141"/>
  <c r="E23" i="141"/>
  <c r="E24" i="141"/>
  <c r="E25" i="141"/>
  <c r="E26" i="141"/>
  <c r="E27" i="141"/>
  <c r="E28" i="141"/>
  <c r="E29" i="141"/>
  <c r="E30" i="141"/>
  <c r="E31" i="141"/>
  <c r="E32" i="141"/>
  <c r="E33" i="141"/>
  <c r="E34" i="141"/>
  <c r="E35" i="141"/>
  <c r="E36" i="141"/>
  <c r="E37" i="141"/>
  <c r="E38" i="141"/>
  <c r="E39" i="141"/>
  <c r="E40" i="141"/>
  <c r="E41" i="141"/>
  <c r="E42" i="141"/>
  <c r="E43" i="141"/>
  <c r="E44" i="141"/>
  <c r="E45" i="141"/>
  <c r="E46" i="141"/>
  <c r="E47" i="141"/>
  <c r="E48" i="141"/>
  <c r="E49" i="141"/>
  <c r="E50" i="141"/>
  <c r="E51" i="141"/>
  <c r="E52" i="141"/>
  <c r="E53" i="141"/>
  <c r="E54" i="141"/>
  <c r="E55" i="141"/>
  <c r="E56" i="141"/>
  <c r="E57" i="141"/>
  <c r="E58" i="141"/>
  <c r="E59" i="141"/>
  <c r="E60" i="141"/>
  <c r="E3" i="141"/>
  <c r="F59" i="141"/>
  <c r="F28" i="141"/>
  <c r="F44" i="141"/>
  <c r="F17" i="141"/>
  <c r="F33" i="141"/>
  <c r="F49" i="141"/>
  <c r="F6" i="141"/>
  <c r="F22" i="141"/>
  <c r="F38" i="141"/>
  <c r="F54" i="141"/>
  <c r="F15" i="141"/>
  <c r="F31" i="141"/>
  <c r="F47" i="141"/>
  <c r="F12" i="141"/>
  <c r="F60" i="141"/>
  <c r="F16" i="141"/>
  <c r="F5" i="141"/>
  <c r="F37" i="141"/>
  <c r="F53" i="141"/>
  <c r="F10" i="141"/>
  <c r="F26" i="141"/>
  <c r="F42" i="141"/>
  <c r="F58" i="141"/>
  <c r="F19" i="141"/>
  <c r="F35" i="141"/>
  <c r="F51" i="141"/>
  <c r="F32" i="141"/>
  <c r="F48" i="141"/>
  <c r="F21" i="141"/>
  <c r="F4" i="141"/>
  <c r="F20" i="141"/>
  <c r="F36" i="141"/>
  <c r="F52" i="141"/>
  <c r="F9" i="141"/>
  <c r="F25" i="141"/>
  <c r="F41" i="141"/>
  <c r="F57" i="141"/>
  <c r="F14" i="141"/>
  <c r="F30" i="141"/>
  <c r="F46" i="141"/>
  <c r="F7" i="141"/>
  <c r="F23" i="141"/>
  <c r="F39" i="141"/>
  <c r="F55" i="141"/>
  <c r="F8" i="141"/>
  <c r="F24" i="141"/>
  <c r="F40" i="141"/>
  <c r="F56" i="141"/>
  <c r="F13" i="141"/>
  <c r="F29" i="141"/>
  <c r="F45" i="141"/>
  <c r="F3" i="141"/>
  <c r="F18" i="141"/>
  <c r="F34" i="141"/>
  <c r="F50" i="141"/>
  <c r="F11" i="141"/>
  <c r="F27" i="141"/>
  <c r="F43" i="141"/>
  <c r="J65" i="83"/>
  <c r="H65" i="83"/>
  <c r="O65" i="83"/>
  <c r="G65" i="83"/>
  <c r="F65" i="83"/>
  <c r="E65" i="83"/>
  <c r="D65" i="83"/>
  <c r="L65" i="83"/>
  <c r="I65" i="83"/>
  <c r="Q65" i="83"/>
  <c r="I3" i="141"/>
  <c r="I39" i="141"/>
  <c r="O39" i="141"/>
  <c r="P39" i="141"/>
  <c r="I21" i="141"/>
  <c r="O21" i="141"/>
  <c r="P21" i="141"/>
  <c r="I17" i="141"/>
  <c r="O17" i="141"/>
  <c r="P17" i="141"/>
  <c r="I38" i="141"/>
  <c r="I32" i="141"/>
  <c r="I40" i="141"/>
  <c r="I47" i="141"/>
  <c r="O47" i="141"/>
  <c r="P47" i="141"/>
  <c r="I58" i="141"/>
  <c r="I35" i="141"/>
  <c r="O35" i="141"/>
  <c r="P35" i="141"/>
  <c r="I36" i="141"/>
  <c r="J43" i="93"/>
  <c r="N43" i="93"/>
  <c r="N51" i="93"/>
  <c r="K44" i="93"/>
  <c r="N42" i="93"/>
  <c r="I9" i="141"/>
  <c r="O9" i="141"/>
  <c r="P9" i="141"/>
  <c r="I26" i="141"/>
  <c r="O26" i="141"/>
  <c r="P26" i="141"/>
  <c r="I14" i="141"/>
  <c r="O14" i="141"/>
  <c r="P14" i="141"/>
  <c r="I42" i="141"/>
  <c r="I52" i="141"/>
  <c r="I15" i="141"/>
  <c r="O15" i="141"/>
  <c r="P15" i="141"/>
  <c r="I6" i="141"/>
  <c r="O6" i="141"/>
  <c r="P6" i="141"/>
  <c r="I29" i="141"/>
  <c r="O29" i="141"/>
  <c r="P29" i="141"/>
  <c r="I44" i="141"/>
  <c r="I33" i="141"/>
  <c r="O33" i="141"/>
  <c r="P33" i="141"/>
  <c r="I46" i="141"/>
  <c r="O46" i="141"/>
  <c r="P46" i="141"/>
  <c r="I60" i="141"/>
  <c r="I22" i="141"/>
  <c r="I54" i="141"/>
  <c r="O54" i="141"/>
  <c r="P54" i="141"/>
  <c r="I11" i="141"/>
  <c r="O11" i="141"/>
  <c r="P11" i="141"/>
  <c r="I56" i="141"/>
  <c r="I45" i="141"/>
  <c r="O45" i="141"/>
  <c r="P45" i="141"/>
  <c r="I31" i="141"/>
  <c r="O31" i="141"/>
  <c r="P31" i="141"/>
  <c r="I23" i="141"/>
  <c r="O23" i="141"/>
  <c r="P23" i="141"/>
  <c r="I53" i="141"/>
  <c r="O53" i="141"/>
  <c r="P53" i="141"/>
  <c r="I43" i="141"/>
  <c r="O43" i="141"/>
  <c r="P43" i="141"/>
  <c r="I59" i="141"/>
  <c r="O59" i="141"/>
  <c r="P59" i="141"/>
  <c r="I30" i="141"/>
  <c r="O30" i="141"/>
  <c r="P30" i="141"/>
  <c r="I25" i="141"/>
  <c r="O25" i="141"/>
  <c r="P25" i="141"/>
  <c r="I12" i="141"/>
  <c r="I50" i="141"/>
  <c r="O50" i="141"/>
  <c r="P50" i="141"/>
  <c r="I18" i="141"/>
  <c r="O18" i="141"/>
  <c r="P18" i="141"/>
  <c r="I51" i="141"/>
  <c r="O51" i="141"/>
  <c r="P51" i="141"/>
  <c r="I41" i="141"/>
  <c r="O41" i="141"/>
  <c r="P41" i="141"/>
  <c r="O42" i="93"/>
  <c r="P43" i="93"/>
  <c r="Q43" i="93"/>
  <c r="J48" i="93"/>
  <c r="N48" i="93"/>
  <c r="K19" i="93"/>
  <c r="O19" i="93"/>
  <c r="J16" i="93"/>
  <c r="N16" i="93"/>
  <c r="O16" i="93"/>
  <c r="J34" i="93"/>
  <c r="N34" i="93"/>
  <c r="O34" i="93"/>
  <c r="K47" i="93"/>
  <c r="K27" i="93"/>
  <c r="K46" i="93"/>
  <c r="O46" i="93"/>
  <c r="K18" i="93"/>
  <c r="J22" i="93"/>
  <c r="N22" i="93"/>
  <c r="K26" i="93"/>
  <c r="O26" i="93"/>
  <c r="J26" i="93"/>
  <c r="N26" i="93"/>
  <c r="K63" i="93"/>
  <c r="J35" i="93"/>
  <c r="N35" i="93"/>
  <c r="J60" i="93"/>
  <c r="N60" i="93"/>
  <c r="K15" i="93"/>
  <c r="M19" i="93"/>
  <c r="P19" i="93"/>
  <c r="Q19" i="93"/>
  <c r="M63" i="93"/>
  <c r="P63" i="93"/>
  <c r="Q63" i="93"/>
  <c r="M30" i="93"/>
  <c r="P30" i="93"/>
  <c r="Q30" i="93"/>
  <c r="M57" i="93"/>
  <c r="P57" i="93"/>
  <c r="Q57" i="93"/>
  <c r="H53" i="141"/>
  <c r="M53" i="141"/>
  <c r="N53" i="141"/>
  <c r="O18" i="93"/>
  <c r="M18" i="93"/>
  <c r="P18" i="93"/>
  <c r="Q18" i="93"/>
  <c r="M58" i="93"/>
  <c r="P58" i="93"/>
  <c r="Q58" i="93"/>
  <c r="M46" i="93"/>
  <c r="P46" i="93"/>
  <c r="Q46" i="93"/>
  <c r="M26" i="93"/>
  <c r="P26" i="93"/>
  <c r="Q26" i="93"/>
  <c r="M10" i="93"/>
  <c r="P10" i="93"/>
  <c r="Q10" i="93"/>
  <c r="M27" i="93"/>
  <c r="P27" i="93"/>
  <c r="Q27" i="93"/>
  <c r="M34" i="93"/>
  <c r="P34" i="93"/>
  <c r="Q34" i="93"/>
  <c r="M16" i="93"/>
  <c r="P16" i="93"/>
  <c r="Q16" i="93"/>
  <c r="I10" i="141"/>
  <c r="O10" i="141"/>
  <c r="P10" i="141"/>
  <c r="I27" i="141"/>
  <c r="O27" i="141"/>
  <c r="P27" i="141"/>
  <c r="I13" i="141"/>
  <c r="O13" i="141"/>
  <c r="P13" i="141"/>
  <c r="I7" i="141"/>
  <c r="O7" i="141"/>
  <c r="P7" i="141"/>
  <c r="I19" i="141"/>
  <c r="O19" i="141"/>
  <c r="P19" i="141"/>
  <c r="I5" i="141"/>
  <c r="O5" i="141"/>
  <c r="P5" i="141"/>
  <c r="I8" i="141"/>
  <c r="O8" i="141"/>
  <c r="P8" i="141"/>
  <c r="I28" i="141"/>
  <c r="O28" i="141"/>
  <c r="P28" i="141"/>
  <c r="I24" i="141"/>
  <c r="O24" i="141"/>
  <c r="P24" i="141"/>
  <c r="I48" i="141"/>
  <c r="O48" i="141"/>
  <c r="P48" i="141"/>
  <c r="I57" i="141"/>
  <c r="O57" i="141"/>
  <c r="P57" i="141"/>
  <c r="I20" i="141"/>
  <c r="O20" i="141"/>
  <c r="P20" i="141"/>
  <c r="I16" i="141"/>
  <c r="O16" i="141"/>
  <c r="P16" i="141"/>
  <c r="I34" i="141"/>
  <c r="O34" i="141"/>
  <c r="P34" i="141"/>
  <c r="I55" i="141"/>
  <c r="O55" i="141"/>
  <c r="P55" i="141"/>
  <c r="I37" i="141"/>
  <c r="O37" i="141"/>
  <c r="P37" i="141"/>
  <c r="I49" i="141"/>
  <c r="O49" i="141"/>
  <c r="P49" i="141"/>
  <c r="J28" i="93"/>
  <c r="N28" i="93"/>
  <c r="O28" i="93"/>
  <c r="K28" i="93"/>
  <c r="J20" i="93"/>
  <c r="N20" i="93"/>
  <c r="K20" i="93"/>
  <c r="J59" i="93"/>
  <c r="N59" i="93"/>
  <c r="K59" i="93"/>
  <c r="O59" i="93"/>
  <c r="J24" i="93"/>
  <c r="N24" i="93"/>
  <c r="K24" i="93"/>
  <c r="O24" i="93"/>
  <c r="J31" i="93"/>
  <c r="N31" i="93"/>
  <c r="K31" i="93"/>
  <c r="K23" i="93"/>
  <c r="J23" i="93"/>
  <c r="N23" i="93"/>
  <c r="O23" i="93"/>
  <c r="J12" i="93"/>
  <c r="N12" i="93"/>
  <c r="K12" i="93"/>
  <c r="K52" i="93"/>
  <c r="O52" i="93"/>
  <c r="J52" i="93"/>
  <c r="N52" i="93"/>
  <c r="K32" i="93"/>
  <c r="J32" i="93"/>
  <c r="N32" i="93"/>
  <c r="I4" i="141"/>
  <c r="O4" i="141"/>
  <c r="P4" i="141"/>
  <c r="P11" i="93"/>
  <c r="Q11" i="93"/>
  <c r="M28" i="93"/>
  <c r="P28" i="93"/>
  <c r="Q28" i="93"/>
  <c r="H24" i="141"/>
  <c r="M24" i="141"/>
  <c r="N24" i="141"/>
  <c r="M31" i="93"/>
  <c r="P31" i="93"/>
  <c r="Q31" i="93"/>
  <c r="M59" i="93"/>
  <c r="P59" i="93"/>
  <c r="Q59" i="93"/>
  <c r="M32" i="93"/>
  <c r="P32" i="93"/>
  <c r="Q32" i="93"/>
  <c r="J28" i="141"/>
  <c r="M12" i="93"/>
  <c r="P12" i="93"/>
  <c r="Q12" i="93"/>
  <c r="M52" i="93"/>
  <c r="P52" i="93"/>
  <c r="T52" i="93"/>
  <c r="M23" i="93"/>
  <c r="P23" i="93"/>
  <c r="Q23" i="93"/>
  <c r="H19" i="141"/>
  <c r="M19" i="141"/>
  <c r="N19" i="141"/>
  <c r="M24" i="93"/>
  <c r="P24" i="93"/>
  <c r="Q24" i="93"/>
  <c r="M20" i="93"/>
  <c r="P20" i="93"/>
  <c r="Q20" i="93"/>
  <c r="J8" i="93"/>
  <c r="N8" i="93"/>
  <c r="O8" i="93"/>
  <c r="M8" i="93"/>
  <c r="P8" i="93"/>
  <c r="J55" i="141"/>
  <c r="H29" i="141"/>
  <c r="M29" i="141"/>
  <c r="N29" i="141"/>
  <c r="H54" i="141"/>
  <c r="H50" i="141"/>
  <c r="M50" i="141"/>
  <c r="H40" i="141"/>
  <c r="M40" i="141"/>
  <c r="N40" i="141"/>
  <c r="H32" i="141"/>
  <c r="H8" i="141"/>
  <c r="H17" i="141"/>
  <c r="M17" i="141"/>
  <c r="N17" i="141"/>
  <c r="J43" i="141"/>
  <c r="H26" i="141"/>
  <c r="M9" i="93"/>
  <c r="P9" i="93"/>
  <c r="Q9" i="93"/>
  <c r="R9" i="93"/>
  <c r="J5" i="141"/>
  <c r="K9" i="93"/>
  <c r="J9" i="93"/>
  <c r="N9" i="93"/>
  <c r="O31" i="93"/>
  <c r="N49" i="93"/>
  <c r="M49" i="93"/>
  <c r="P49" i="93"/>
  <c r="Q49" i="93"/>
  <c r="R49" i="93"/>
  <c r="J45" i="141"/>
  <c r="J37" i="93"/>
  <c r="N37" i="93"/>
  <c r="K37" i="93"/>
  <c r="M37" i="93"/>
  <c r="P37" i="93"/>
  <c r="Q37" i="93"/>
  <c r="J21" i="93"/>
  <c r="N21" i="93"/>
  <c r="K21" i="93"/>
  <c r="M21" i="93"/>
  <c r="P21" i="93"/>
  <c r="Q21" i="93"/>
  <c r="J41" i="93"/>
  <c r="N41" i="93"/>
  <c r="K41" i="93"/>
  <c r="O41" i="93"/>
  <c r="M41" i="93"/>
  <c r="P41" i="93"/>
  <c r="Q41" i="93"/>
  <c r="R41" i="93"/>
  <c r="J61" i="93"/>
  <c r="N61" i="93"/>
  <c r="O61" i="93"/>
  <c r="M61" i="93"/>
  <c r="P61" i="93"/>
  <c r="Q61" i="93"/>
  <c r="H57" i="141"/>
  <c r="M57" i="141"/>
  <c r="N57" i="141"/>
  <c r="K61" i="93"/>
  <c r="O48" i="93"/>
  <c r="J33" i="93"/>
  <c r="N33" i="93"/>
  <c r="K33" i="93"/>
  <c r="M33" i="93"/>
  <c r="P33" i="93"/>
  <c r="Q33" i="93"/>
  <c r="M17" i="93"/>
  <c r="P17" i="93"/>
  <c r="Q17" i="93"/>
  <c r="H13" i="141"/>
  <c r="M13" i="141"/>
  <c r="N13" i="141"/>
  <c r="K17" i="93"/>
  <c r="O17" i="93"/>
  <c r="J17" i="93"/>
  <c r="N17" i="93"/>
  <c r="J25" i="93"/>
  <c r="N25" i="93"/>
  <c r="M25" i="93"/>
  <c r="P25" i="93"/>
  <c r="Q25" i="93"/>
  <c r="K25" i="93"/>
  <c r="M53" i="93"/>
  <c r="P53" i="93"/>
  <c r="Q53" i="93"/>
  <c r="K53" i="93"/>
  <c r="J53" i="93"/>
  <c r="N53" i="93"/>
  <c r="J45" i="93"/>
  <c r="N45" i="93"/>
  <c r="O45" i="93"/>
  <c r="M45" i="93"/>
  <c r="P45" i="93"/>
  <c r="Q45" i="93"/>
  <c r="R45" i="93"/>
  <c r="J29" i="93"/>
  <c r="N29" i="93"/>
  <c r="M29" i="93"/>
  <c r="P29" i="93"/>
  <c r="Q29" i="93"/>
  <c r="H25" i="141"/>
  <c r="M25" i="141"/>
  <c r="N25" i="141"/>
  <c r="M13" i="93"/>
  <c r="P13" i="93"/>
  <c r="Q13" i="93"/>
  <c r="R13" i="93"/>
  <c r="H9" i="141"/>
  <c r="M9" i="141"/>
  <c r="N9" i="141"/>
  <c r="J13" i="93"/>
  <c r="N13" i="93"/>
  <c r="K13" i="93"/>
  <c r="K38" i="93"/>
  <c r="O38" i="93"/>
  <c r="K14" i="93"/>
  <c r="O14" i="93"/>
  <c r="M50" i="93"/>
  <c r="P50" i="93"/>
  <c r="Q50" i="93"/>
  <c r="H46" i="141"/>
  <c r="M46" i="141"/>
  <c r="N46" i="141"/>
  <c r="M64" i="93"/>
  <c r="P64" i="93"/>
  <c r="Q64" i="93"/>
  <c r="J64" i="93"/>
  <c r="N64" i="93"/>
  <c r="O64" i="93"/>
  <c r="J30" i="93"/>
  <c r="N30" i="93"/>
  <c r="O30" i="93"/>
  <c r="M42" i="93"/>
  <c r="P42" i="93"/>
  <c r="Q42" i="93"/>
  <c r="H38" i="141"/>
  <c r="M38" i="141"/>
  <c r="N38" i="141"/>
  <c r="K36" i="93"/>
  <c r="K54" i="93"/>
  <c r="M54" i="93"/>
  <c r="P54" i="93"/>
  <c r="Q54" i="93"/>
  <c r="J54" i="93"/>
  <c r="N54" i="93"/>
  <c r="K40" i="93"/>
  <c r="M40" i="93"/>
  <c r="P40" i="93"/>
  <c r="Q40" i="93"/>
  <c r="J36" i="141"/>
  <c r="J40" i="93"/>
  <c r="N40" i="93"/>
  <c r="M35" i="93"/>
  <c r="P35" i="93"/>
  <c r="Q35" i="93"/>
  <c r="H31" i="141"/>
  <c r="M31" i="141"/>
  <c r="N31" i="141"/>
  <c r="K35" i="93"/>
  <c r="O35" i="93"/>
  <c r="O27" i="93"/>
  <c r="M55" i="93"/>
  <c r="P55" i="93"/>
  <c r="Q55" i="93"/>
  <c r="K55" i="93"/>
  <c r="M38" i="93"/>
  <c r="P38" i="93"/>
  <c r="Q38" i="93"/>
  <c r="H34" i="141"/>
  <c r="M34" i="141"/>
  <c r="N34" i="141"/>
  <c r="M48" i="93"/>
  <c r="P48" i="93"/>
  <c r="Q48" i="93"/>
  <c r="J50" i="93"/>
  <c r="N50" i="93"/>
  <c r="O50" i="93"/>
  <c r="K58" i="93"/>
  <c r="J58" i="93"/>
  <c r="N58" i="93"/>
  <c r="O58" i="93"/>
  <c r="K56" i="93"/>
  <c r="J56" i="93"/>
  <c r="N56" i="93"/>
  <c r="O56" i="93"/>
  <c r="M47" i="93"/>
  <c r="P47" i="93"/>
  <c r="Q47" i="93"/>
  <c r="H43" i="141"/>
  <c r="M43" i="141"/>
  <c r="N43" i="141"/>
  <c r="J47" i="93"/>
  <c r="N47" i="93"/>
  <c r="O47" i="93"/>
  <c r="K10" i="93"/>
  <c r="J10" i="93"/>
  <c r="N10" i="93"/>
  <c r="K57" i="93"/>
  <c r="O57" i="93"/>
  <c r="J57" i="93"/>
  <c r="N57" i="93"/>
  <c r="O32" i="93"/>
  <c r="M22" i="93"/>
  <c r="P22" i="93"/>
  <c r="Q22" i="93"/>
  <c r="H18" i="141"/>
  <c r="M18" i="141"/>
  <c r="N18" i="141"/>
  <c r="J55" i="93"/>
  <c r="N55" i="93"/>
  <c r="J62" i="93"/>
  <c r="N62" i="93"/>
  <c r="M62" i="93"/>
  <c r="P62" i="93"/>
  <c r="Q62" i="93"/>
  <c r="K62" i="93"/>
  <c r="K60" i="93"/>
  <c r="O60" i="93"/>
  <c r="M60" i="93"/>
  <c r="P60" i="93"/>
  <c r="Q60" i="93"/>
  <c r="M51" i="93"/>
  <c r="P51" i="93"/>
  <c r="Q51" i="93"/>
  <c r="H47" i="141"/>
  <c r="M47" i="141"/>
  <c r="N47" i="141"/>
  <c r="K51" i="93"/>
  <c r="O51" i="93"/>
  <c r="J44" i="93"/>
  <c r="N44" i="93"/>
  <c r="O44" i="93"/>
  <c r="M44" i="93"/>
  <c r="P44" i="93"/>
  <c r="Q44" i="93"/>
  <c r="M39" i="93"/>
  <c r="P39" i="93"/>
  <c r="Q39" i="93"/>
  <c r="J39" i="93"/>
  <c r="N39" i="93"/>
  <c r="O39" i="93"/>
  <c r="M15" i="93"/>
  <c r="P15" i="93"/>
  <c r="Q15" i="93"/>
  <c r="H11" i="141"/>
  <c r="M11" i="141"/>
  <c r="N11" i="141"/>
  <c r="J15" i="93"/>
  <c r="N15" i="93"/>
  <c r="O15" i="93"/>
  <c r="O36" i="141"/>
  <c r="P36" i="141"/>
  <c r="O40" i="141"/>
  <c r="P40" i="141"/>
  <c r="O12" i="141"/>
  <c r="P12" i="141"/>
  <c r="O22" i="141"/>
  <c r="P22" i="141"/>
  <c r="O44" i="141"/>
  <c r="P44" i="141"/>
  <c r="O52" i="141"/>
  <c r="P52" i="141"/>
  <c r="O32" i="141"/>
  <c r="P32" i="141"/>
  <c r="O56" i="141"/>
  <c r="P56" i="141"/>
  <c r="O60" i="141"/>
  <c r="P60" i="141"/>
  <c r="O42" i="141"/>
  <c r="P42" i="141"/>
  <c r="O58" i="141"/>
  <c r="P58" i="141"/>
  <c r="O38" i="141"/>
  <c r="P38" i="141"/>
  <c r="Q8" i="93"/>
  <c r="H4" i="141"/>
  <c r="M4" i="141"/>
  <c r="N4" i="141"/>
  <c r="S8" i="93"/>
  <c r="T8" i="93"/>
  <c r="Q52" i="93"/>
  <c r="H48" i="141"/>
  <c r="M48" i="141"/>
  <c r="N48" i="141"/>
  <c r="S52" i="93"/>
  <c r="M32" i="141"/>
  <c r="N32" i="141"/>
  <c r="M26" i="141"/>
  <c r="N26" i="141"/>
  <c r="J57" i="141"/>
  <c r="M8" i="141"/>
  <c r="N8" i="141"/>
  <c r="M54" i="141"/>
  <c r="N54" i="141"/>
  <c r="N50" i="141"/>
  <c r="J25" i="141"/>
  <c r="J11" i="141"/>
  <c r="J9" i="141"/>
  <c r="J40" i="141"/>
  <c r="J20" i="141"/>
  <c r="H20" i="141"/>
  <c r="M20" i="141"/>
  <c r="N20" i="141"/>
  <c r="J60" i="141"/>
  <c r="H60" i="141"/>
  <c r="M60" i="141"/>
  <c r="N60" i="141"/>
  <c r="H41" i="141"/>
  <c r="M41" i="141"/>
  <c r="N41" i="141"/>
  <c r="J41" i="141"/>
  <c r="J14" i="141"/>
  <c r="H14" i="141"/>
  <c r="M14" i="141"/>
  <c r="N14" i="141"/>
  <c r="J35" i="141"/>
  <c r="H35" i="141"/>
  <c r="M35" i="141"/>
  <c r="N35" i="141"/>
  <c r="J39" i="141"/>
  <c r="H39" i="141"/>
  <c r="M39" i="141"/>
  <c r="N39" i="141"/>
  <c r="J26" i="141"/>
  <c r="J34" i="141"/>
  <c r="J50" i="141"/>
  <c r="J8" i="141"/>
  <c r="J32" i="141"/>
  <c r="J30" i="141"/>
  <c r="J52" i="141"/>
  <c r="J23" i="141"/>
  <c r="J6" i="141"/>
  <c r="J7" i="141"/>
  <c r="J58" i="141"/>
  <c r="H58" i="141"/>
  <c r="M58" i="141"/>
  <c r="N58" i="141"/>
  <c r="J44" i="141"/>
  <c r="H44" i="141"/>
  <c r="M44" i="141"/>
  <c r="N44" i="141"/>
  <c r="H27" i="141"/>
  <c r="M27" i="141"/>
  <c r="N27" i="141"/>
  <c r="J27" i="141"/>
  <c r="H36" i="141"/>
  <c r="M36" i="141"/>
  <c r="N36" i="141"/>
  <c r="H30" i="141"/>
  <c r="M30" i="141"/>
  <c r="N30" i="141"/>
  <c r="H7" i="141"/>
  <c r="M7" i="141"/>
  <c r="N7" i="141"/>
  <c r="J46" i="141"/>
  <c r="H28" i="141"/>
  <c r="M28" i="141"/>
  <c r="N28" i="141"/>
  <c r="J24" i="141"/>
  <c r="H5" i="141"/>
  <c r="M5" i="141"/>
  <c r="N5" i="141"/>
  <c r="H55" i="141"/>
  <c r="M55" i="141"/>
  <c r="N55" i="141"/>
  <c r="J19" i="141"/>
  <c r="H23" i="141"/>
  <c r="M23" i="141"/>
  <c r="N23" i="141"/>
  <c r="J29" i="141"/>
  <c r="J47" i="141"/>
  <c r="J17" i="141"/>
  <c r="J10" i="141"/>
  <c r="J18" i="141"/>
  <c r="H22" i="141"/>
  <c r="M22" i="141"/>
  <c r="N22" i="141"/>
  <c r="J22" i="141"/>
  <c r="H49" i="141"/>
  <c r="M49" i="141"/>
  <c r="N49" i="141"/>
  <c r="J49" i="141"/>
  <c r="H59" i="141"/>
  <c r="M59" i="141"/>
  <c r="N59" i="141"/>
  <c r="J59" i="141"/>
  <c r="J31" i="141"/>
  <c r="J4" i="141"/>
  <c r="J42" i="141"/>
  <c r="H42" i="141"/>
  <c r="M42" i="141"/>
  <c r="N42" i="141"/>
  <c r="H52" i="141"/>
  <c r="M52" i="141"/>
  <c r="N52" i="141"/>
  <c r="J53" i="141"/>
  <c r="H10" i="141"/>
  <c r="M10" i="141"/>
  <c r="N10" i="141"/>
  <c r="J38" i="141"/>
  <c r="J13" i="141"/>
  <c r="H6" i="141"/>
  <c r="M6" i="141"/>
  <c r="N6" i="141"/>
  <c r="H51" i="141"/>
  <c r="M51" i="141"/>
  <c r="N51" i="141"/>
  <c r="H15" i="141"/>
  <c r="M15" i="141"/>
  <c r="N15" i="141"/>
  <c r="H21" i="141"/>
  <c r="M21" i="141"/>
  <c r="N21" i="141"/>
  <c r="H16" i="141"/>
  <c r="M16" i="141"/>
  <c r="N16" i="141"/>
  <c r="H56" i="141"/>
  <c r="M56" i="141"/>
  <c r="N56" i="141"/>
  <c r="M7" i="93"/>
  <c r="J7" i="93"/>
  <c r="N7" i="93"/>
  <c r="O7" i="93"/>
  <c r="K7" i="93"/>
  <c r="H45" i="141"/>
  <c r="M45" i="141"/>
  <c r="N45" i="141"/>
  <c r="H12" i="141"/>
  <c r="M12" i="141"/>
  <c r="N12" i="141"/>
  <c r="H33" i="141"/>
  <c r="M33" i="141"/>
  <c r="N33" i="141"/>
  <c r="H37" i="141"/>
  <c r="M37" i="141"/>
  <c r="N37" i="141"/>
  <c r="I61" i="141"/>
  <c r="O29" i="93"/>
  <c r="O25" i="93"/>
  <c r="O33" i="93"/>
  <c r="O37" i="93"/>
  <c r="O62" i="93"/>
  <c r="O54" i="93"/>
  <c r="O53" i="93"/>
  <c r="O21" i="93"/>
  <c r="J54" i="141"/>
  <c r="J61" i="141"/>
  <c r="J33" i="141"/>
  <c r="J21" i="141"/>
  <c r="J56" i="141"/>
  <c r="J16" i="141"/>
  <c r="J37" i="141"/>
  <c r="M65" i="93"/>
  <c r="P7" i="93"/>
  <c r="J48" i="141"/>
  <c r="J51" i="141"/>
  <c r="J15" i="141"/>
  <c r="J12" i="141"/>
  <c r="Q7" i="93"/>
  <c r="P65" i="93"/>
  <c r="Q65" i="93"/>
  <c r="R39" i="93"/>
  <c r="R51" i="93"/>
  <c r="R22" i="93"/>
  <c r="R30" i="93"/>
  <c r="R37" i="93"/>
  <c r="R16" i="93"/>
  <c r="R33" i="93"/>
  <c r="R47" i="93"/>
  <c r="R20" i="93"/>
  <c r="R11" i="93"/>
  <c r="R24" i="93"/>
  <c r="R43" i="93"/>
  <c r="R42" i="93"/>
  <c r="R40" i="93"/>
  <c r="R48" i="93"/>
  <c r="R50" i="93"/>
  <c r="R35" i="93"/>
  <c r="R27" i="93"/>
  <c r="R34" i="93"/>
  <c r="R26" i="93"/>
  <c r="R38" i="93"/>
  <c r="R23" i="93"/>
  <c r="R12" i="93"/>
  <c r="R25" i="93"/>
  <c r="R55" i="93"/>
  <c r="R15" i="93"/>
  <c r="R29" i="93"/>
  <c r="R58" i="93"/>
  <c r="R59" i="93"/>
  <c r="R52" i="93"/>
  <c r="R8" i="93"/>
  <c r="R21" i="93"/>
  <c r="R62" i="93"/>
  <c r="R10" i="93"/>
  <c r="R54" i="93"/>
  <c r="R28" i="93"/>
  <c r="R61" i="93"/>
  <c r="R32" i="93"/>
  <c r="R56" i="93"/>
  <c r="R18" i="93"/>
  <c r="R64" i="93"/>
  <c r="R46" i="93"/>
  <c r="R31" i="93"/>
  <c r="R53" i="93"/>
  <c r="R44" i="93"/>
  <c r="R63" i="93"/>
  <c r="R19" i="93"/>
  <c r="R57" i="93"/>
  <c r="R17" i="93"/>
  <c r="R60" i="93"/>
  <c r="R7" i="93"/>
  <c r="S63" i="93"/>
  <c r="T63" i="93"/>
  <c r="T54" i="93"/>
  <c r="S54" i="93"/>
  <c r="S38" i="93"/>
  <c r="T38" i="93"/>
  <c r="S57" i="93"/>
  <c r="T57" i="93"/>
  <c r="T44" i="93"/>
  <c r="S44" i="93"/>
  <c r="S64" i="93"/>
  <c r="T64" i="93"/>
  <c r="T32" i="93"/>
  <c r="S32" i="93"/>
  <c r="S10" i="93"/>
  <c r="T10" i="93"/>
  <c r="S29" i="93"/>
  <c r="T29" i="93"/>
  <c r="T12" i="93"/>
  <c r="S12" i="93"/>
  <c r="T26" i="93"/>
  <c r="S26" i="93"/>
  <c r="S50" i="93"/>
  <c r="T50" i="93"/>
  <c r="T42" i="93"/>
  <c r="S42" i="93"/>
  <c r="S20" i="93"/>
  <c r="T20" i="93"/>
  <c r="S49" i="93"/>
  <c r="T49" i="93"/>
  <c r="T22" i="93"/>
  <c r="S22" i="93"/>
  <c r="T17" i="93"/>
  <c r="S17" i="93"/>
  <c r="S56" i="93"/>
  <c r="T56" i="93"/>
  <c r="T58" i="93"/>
  <c r="S58" i="93"/>
  <c r="T40" i="93"/>
  <c r="S40" i="93"/>
  <c r="T33" i="93"/>
  <c r="S33" i="93"/>
  <c r="T18" i="93"/>
  <c r="S18" i="93"/>
  <c r="T48" i="93"/>
  <c r="S48" i="93"/>
  <c r="S43" i="93"/>
  <c r="T43" i="93"/>
  <c r="S9" i="93"/>
  <c r="T9" i="93"/>
  <c r="S16" i="93"/>
  <c r="T16" i="93"/>
  <c r="S51" i="93"/>
  <c r="T51" i="93"/>
  <c r="H3" i="141"/>
  <c r="M3" i="141"/>
  <c r="N3" i="141"/>
  <c r="T46" i="93"/>
  <c r="S46" i="93"/>
  <c r="S21" i="93"/>
  <c r="T21" i="93"/>
  <c r="T25" i="93"/>
  <c r="S25" i="93"/>
  <c r="S35" i="93"/>
  <c r="T35" i="93"/>
  <c r="S11" i="93"/>
  <c r="T11" i="93"/>
  <c r="T30" i="93"/>
  <c r="S30" i="93"/>
  <c r="R65" i="93"/>
  <c r="T7" i="93"/>
  <c r="S7" i="93"/>
  <c r="S41" i="93"/>
  <c r="T41" i="93"/>
  <c r="S53" i="93"/>
  <c r="T53" i="93"/>
  <c r="T61" i="93"/>
  <c r="S61" i="93"/>
  <c r="T13" i="93"/>
  <c r="S13" i="93"/>
  <c r="S15" i="93"/>
  <c r="T15" i="93"/>
  <c r="S34" i="93"/>
  <c r="T34" i="93"/>
  <c r="T60" i="93"/>
  <c r="S60" i="93"/>
  <c r="T19" i="93"/>
  <c r="S19" i="93"/>
  <c r="T31" i="93"/>
  <c r="S31" i="93"/>
  <c r="S28" i="93"/>
  <c r="T28" i="93"/>
  <c r="T62" i="93"/>
  <c r="S62" i="93"/>
  <c r="S59" i="93"/>
  <c r="T59" i="93"/>
  <c r="S55" i="93"/>
  <c r="T55" i="93"/>
  <c r="T23" i="93"/>
  <c r="S23" i="93"/>
  <c r="S27" i="93"/>
  <c r="T27" i="93"/>
  <c r="S45" i="93"/>
  <c r="T45" i="93"/>
  <c r="T24" i="93"/>
  <c r="S24" i="93"/>
  <c r="T47" i="93"/>
  <c r="S47" i="93"/>
  <c r="S37" i="93"/>
  <c r="T37" i="93"/>
  <c r="S39" i="93"/>
  <c r="T39" i="93"/>
  <c r="K3" i="141"/>
  <c r="J3" i="141"/>
  <c r="H61" i="141"/>
  <c r="S65" i="93"/>
  <c r="T65" i="93"/>
  <c r="K4" i="141"/>
  <c r="K10" i="141"/>
  <c r="K20" i="141"/>
  <c r="K23" i="141"/>
  <c r="K5" i="141"/>
  <c r="K41" i="141"/>
  <c r="K60" i="141"/>
  <c r="K18" i="141"/>
  <c r="K11" i="141"/>
  <c r="K19" i="141"/>
  <c r="K45" i="141"/>
  <c r="K30" i="141"/>
  <c r="K32" i="141"/>
  <c r="K29" i="141"/>
  <c r="K25" i="141"/>
  <c r="K50" i="141"/>
  <c r="K39" i="141"/>
  <c r="K49" i="141"/>
  <c r="K38" i="141"/>
  <c r="K27" i="141"/>
  <c r="K8" i="141"/>
  <c r="K31" i="141"/>
  <c r="K7" i="141"/>
  <c r="K47" i="141"/>
  <c r="K59" i="141"/>
  <c r="K57" i="141"/>
  <c r="K54" i="141"/>
  <c r="K55" i="141"/>
  <c r="K46" i="141"/>
  <c r="K40" i="141"/>
  <c r="K36" i="141"/>
  <c r="K43" i="141"/>
  <c r="K34" i="141"/>
  <c r="K26" i="141"/>
  <c r="K17" i="141"/>
  <c r="K24" i="141"/>
  <c r="K58" i="141"/>
  <c r="K52" i="141"/>
  <c r="K53" i="141"/>
  <c r="K9" i="141"/>
  <c r="K14" i="141"/>
  <c r="K28" i="141"/>
  <c r="K13" i="141"/>
  <c r="K35" i="141"/>
  <c r="K22" i="141"/>
  <c r="K44" i="141"/>
  <c r="K42" i="141"/>
  <c r="K6" i="141"/>
  <c r="K33" i="141"/>
  <c r="K56" i="141"/>
  <c r="K37" i="141"/>
  <c r="K48" i="141"/>
  <c r="K15" i="141"/>
  <c r="K16" i="141"/>
  <c r="K12" i="141"/>
  <c r="K21" i="141"/>
  <c r="K51" i="141"/>
  <c r="Y50" i="41"/>
  <c r="Y8" i="41"/>
  <c r="Y14" i="41"/>
  <c r="Y39" i="41"/>
  <c r="Y54" i="41"/>
  <c r="Y63" i="41"/>
  <c r="Y32" i="41"/>
  <c r="Y12" i="41"/>
  <c r="Y47" i="41"/>
  <c r="Y36" i="41"/>
  <c r="Y24" i="41"/>
  <c r="F63" i="80"/>
  <c r="F47" i="80"/>
  <c r="F51" i="80"/>
  <c r="F59" i="80"/>
  <c r="F55" i="80"/>
  <c r="F23" i="80"/>
  <c r="F35" i="80"/>
  <c r="F43" i="80"/>
  <c r="F39" i="80"/>
  <c r="F36" i="80"/>
  <c r="F20" i="80"/>
  <c r="F31" i="80"/>
  <c r="F15" i="80"/>
  <c r="F19" i="80"/>
  <c r="F44" i="80"/>
  <c r="F40" i="80"/>
  <c r="F27" i="80"/>
  <c r="F24" i="80"/>
  <c r="F28" i="80"/>
  <c r="F32" i="80"/>
  <c r="F60" i="80"/>
  <c r="F56" i="80"/>
  <c r="F52" i="80"/>
  <c r="F48" i="80"/>
  <c r="F7" i="80"/>
  <c r="F11" i="80"/>
  <c r="F16" i="80"/>
  <c r="F12" i="80"/>
  <c r="F8" i="80"/>
  <c r="Y16" i="41"/>
  <c r="Y30" i="41"/>
  <c r="Y51" i="41"/>
  <c r="Y43" i="41"/>
  <c r="Y60" i="41"/>
  <c r="Y55" i="41"/>
  <c r="E65" i="41"/>
  <c r="D65" i="41"/>
  <c r="O40" i="93"/>
  <c r="O9" i="93"/>
  <c r="O13" i="93"/>
  <c r="Y27" i="41"/>
  <c r="O10" i="93"/>
  <c r="O55" i="93"/>
  <c r="O20" i="93"/>
  <c r="M14" i="93"/>
  <c r="P14" i="93"/>
  <c r="D61" i="141"/>
  <c r="O3" i="141"/>
  <c r="J36" i="93"/>
  <c r="N36" i="93"/>
  <c r="O36" i="93"/>
  <c r="M36" i="93"/>
  <c r="P36" i="93"/>
  <c r="K49" i="93"/>
  <c r="O49" i="93"/>
  <c r="J11" i="93"/>
  <c r="N11" i="93"/>
  <c r="O12" i="93"/>
  <c r="K11" i="93"/>
  <c r="O22" i="93"/>
  <c r="G20" i="146"/>
  <c r="T20" i="41"/>
  <c r="E65" i="146"/>
  <c r="G65" i="146"/>
  <c r="F10" i="143"/>
  <c r="Q10" i="41"/>
  <c r="D65" i="143"/>
  <c r="F65" i="143"/>
  <c r="H9" i="145"/>
  <c r="H11" i="145"/>
  <c r="H7" i="145"/>
  <c r="K52" i="41"/>
  <c r="H13" i="145"/>
  <c r="F62" i="80"/>
  <c r="F46" i="80"/>
  <c r="C45" i="80"/>
  <c r="F46" i="143"/>
  <c r="Q46" i="41"/>
  <c r="F30" i="80"/>
  <c r="F14" i="80"/>
  <c r="C65" i="146"/>
  <c r="G38" i="143"/>
  <c r="R38" i="41"/>
  <c r="E65" i="143"/>
  <c r="G65" i="143"/>
  <c r="F32" i="146"/>
  <c r="S32" i="41"/>
  <c r="D65" i="146"/>
  <c r="E61" i="141"/>
  <c r="K43" i="93"/>
  <c r="O43" i="93"/>
  <c r="D65" i="145"/>
  <c r="G37" i="143"/>
  <c r="R37" i="41"/>
  <c r="F30" i="143"/>
  <c r="Q30" i="41"/>
  <c r="F27" i="146"/>
  <c r="S27" i="41"/>
  <c r="F14" i="143"/>
  <c r="Q14" i="41"/>
  <c r="F11" i="146"/>
  <c r="S11" i="41"/>
  <c r="C58" i="80"/>
  <c r="F58" i="80"/>
  <c r="F57" i="80"/>
  <c r="D49" i="80"/>
  <c r="F49" i="80"/>
  <c r="C42" i="80"/>
  <c r="F42" i="80"/>
  <c r="F41" i="80"/>
  <c r="D33" i="80"/>
  <c r="F33" i="80"/>
  <c r="C26" i="80"/>
  <c r="F26" i="80"/>
  <c r="F25" i="80"/>
  <c r="D17" i="80"/>
  <c r="F17" i="80"/>
  <c r="C10" i="80"/>
  <c r="F9" i="80"/>
  <c r="AA65" i="41"/>
  <c r="D61" i="80"/>
  <c r="F61" i="80"/>
  <c r="C54" i="80"/>
  <c r="F54" i="80"/>
  <c r="F53" i="80"/>
  <c r="D45" i="80"/>
  <c r="C38" i="80"/>
  <c r="F38" i="80"/>
  <c r="F37" i="80"/>
  <c r="D29" i="80"/>
  <c r="F29" i="80"/>
  <c r="C22" i="80"/>
  <c r="F22" i="80"/>
  <c r="F21" i="80"/>
  <c r="D13" i="80"/>
  <c r="F13" i="80"/>
  <c r="F50" i="80"/>
  <c r="F34" i="80"/>
  <c r="F18" i="80"/>
  <c r="E63" i="148"/>
  <c r="Y42" i="41"/>
  <c r="Y11" i="41"/>
  <c r="Y26" i="41"/>
  <c r="Y25" i="41"/>
  <c r="Y20" i="41"/>
  <c r="Y35" i="41"/>
  <c r="F65" i="146"/>
  <c r="Y58" i="41"/>
  <c r="Y34" i="41"/>
  <c r="Y41" i="41"/>
  <c r="Y49" i="41"/>
  <c r="Y9" i="41"/>
  <c r="Y19" i="41"/>
  <c r="Y61" i="41"/>
  <c r="Y7" i="41"/>
  <c r="Y59" i="41"/>
  <c r="Y29" i="41"/>
  <c r="Y33" i="41"/>
  <c r="Y23" i="41"/>
  <c r="Y18" i="41"/>
  <c r="Y45" i="41"/>
  <c r="Y15" i="41"/>
  <c r="Y57" i="41"/>
  <c r="Y38" i="41"/>
  <c r="Y40" i="41"/>
  <c r="Y44" i="41"/>
  <c r="Y48" i="41"/>
  <c r="Y52" i="41"/>
  <c r="Y28" i="41"/>
  <c r="Y62" i="41"/>
  <c r="Y64" i="41"/>
  <c r="Y31" i="41"/>
  <c r="Y17" i="41"/>
  <c r="Y21" i="41"/>
  <c r="Y37" i="41"/>
  <c r="Y22" i="41"/>
  <c r="Y53" i="41"/>
  <c r="Y46" i="41"/>
  <c r="Y10" i="41"/>
  <c r="F65" i="41"/>
  <c r="Y13" i="41"/>
  <c r="K7" i="41"/>
  <c r="K25" i="41"/>
  <c r="K42" i="41"/>
  <c r="K43" i="41"/>
  <c r="K49" i="41"/>
  <c r="K40" i="41"/>
  <c r="K36" i="41"/>
  <c r="K39" i="41"/>
  <c r="K10" i="41"/>
  <c r="K15" i="41"/>
  <c r="K18" i="41"/>
  <c r="K19" i="41"/>
  <c r="K23" i="41"/>
  <c r="K27" i="41"/>
  <c r="K22" i="41"/>
  <c r="K26" i="41"/>
  <c r="K30" i="41"/>
  <c r="K34" i="41"/>
  <c r="K29" i="41"/>
  <c r="K37" i="41"/>
  <c r="K53" i="41"/>
  <c r="K57" i="41"/>
  <c r="K61" i="41"/>
  <c r="K35" i="41"/>
  <c r="K46" i="41"/>
  <c r="K51" i="41"/>
  <c r="K64" i="41"/>
  <c r="K63" i="41"/>
  <c r="K50" i="41"/>
  <c r="K58" i="41"/>
  <c r="F45" i="80"/>
  <c r="D64" i="80"/>
  <c r="Q36" i="93"/>
  <c r="R36" i="93"/>
  <c r="S36" i="93"/>
  <c r="T36" i="93"/>
  <c r="Q14" i="93"/>
  <c r="R14" i="93"/>
  <c r="T14" i="93"/>
  <c r="S14" i="93"/>
  <c r="K8" i="41"/>
  <c r="K12" i="41"/>
  <c r="K31" i="41"/>
  <c r="K14" i="41"/>
  <c r="K17" i="41"/>
  <c r="K38" i="41"/>
  <c r="K9" i="41"/>
  <c r="K11" i="41"/>
  <c r="K20" i="41"/>
  <c r="K28" i="41"/>
  <c r="K41" i="41"/>
  <c r="K24" i="41"/>
  <c r="K32" i="41"/>
  <c r="K59" i="41"/>
  <c r="O11" i="93"/>
  <c r="F10" i="80"/>
  <c r="C64" i="80"/>
  <c r="K13" i="41"/>
  <c r="K16" i="41"/>
  <c r="K21" i="41"/>
  <c r="K33" i="41"/>
  <c r="K48" i="41"/>
  <c r="K62" i="41"/>
  <c r="K47" i="41"/>
  <c r="K56" i="41"/>
  <c r="K55" i="41"/>
  <c r="K60" i="41"/>
  <c r="K44" i="41"/>
  <c r="K45" i="41"/>
  <c r="K54" i="41"/>
  <c r="P3" i="141"/>
  <c r="O61" i="141"/>
  <c r="P61" i="141"/>
  <c r="F66" i="80"/>
  <c r="H11" i="41"/>
  <c r="Y65" i="41"/>
  <c r="D20" i="72"/>
  <c r="I41" i="41"/>
  <c r="I38" i="41"/>
  <c r="D39" i="72"/>
  <c r="D44" i="72"/>
  <c r="D55" i="72"/>
  <c r="D62" i="72"/>
  <c r="D53" i="72"/>
  <c r="H27" i="41"/>
  <c r="D32" i="72"/>
  <c r="D26" i="72"/>
  <c r="D28" i="72"/>
  <c r="D29" i="72"/>
  <c r="D50" i="72"/>
  <c r="D43" i="72"/>
  <c r="H35" i="41"/>
  <c r="D12" i="72"/>
  <c r="D54" i="72"/>
  <c r="D63" i="72"/>
  <c r="I32" i="41"/>
  <c r="I31" i="41"/>
  <c r="D9" i="72"/>
  <c r="D56" i="72"/>
  <c r="H62" i="41"/>
  <c r="I52" i="41"/>
  <c r="H32" i="41"/>
  <c r="H37" i="41"/>
  <c r="H53" i="41"/>
  <c r="H38" i="41"/>
  <c r="H20" i="41"/>
  <c r="H44" i="41"/>
  <c r="H47" i="41"/>
  <c r="H58" i="41"/>
  <c r="I17" i="41"/>
  <c r="H59" i="41"/>
  <c r="H36" i="41"/>
  <c r="H60" i="41"/>
  <c r="H61" i="41"/>
  <c r="D15" i="72"/>
  <c r="H31" i="41"/>
  <c r="H10" i="41"/>
  <c r="H40" i="41"/>
  <c r="H21" i="41"/>
  <c r="D21" i="72"/>
  <c r="D4" i="72"/>
  <c r="H26" i="41"/>
  <c r="H19" i="41"/>
  <c r="H16" i="41"/>
  <c r="D61" i="72"/>
  <c r="I53" i="41"/>
  <c r="H57" i="41"/>
  <c r="H52" i="41"/>
  <c r="H29" i="41"/>
  <c r="D47" i="72"/>
  <c r="D42" i="72"/>
  <c r="D35" i="72"/>
  <c r="D48" i="72"/>
  <c r="H56" i="41"/>
  <c r="H41" i="41"/>
  <c r="D45" i="72"/>
  <c r="H50" i="41"/>
  <c r="D33" i="72"/>
  <c r="H17" i="41"/>
  <c r="D41" i="72"/>
  <c r="D18" i="72"/>
  <c r="D6" i="72"/>
  <c r="D49" i="72"/>
  <c r="D38" i="72"/>
  <c r="I8" i="41"/>
  <c r="D25" i="72"/>
  <c r="H18" i="41"/>
  <c r="H39" i="41"/>
  <c r="H54" i="41"/>
  <c r="H22" i="41"/>
  <c r="H23" i="41"/>
  <c r="H43" i="41"/>
  <c r="H63" i="41"/>
  <c r="H42" i="41"/>
  <c r="H25" i="41"/>
  <c r="H28" i="41"/>
  <c r="H55" i="41"/>
  <c r="D22" i="72"/>
  <c r="D36" i="72"/>
  <c r="H64" i="41"/>
  <c r="D57" i="72"/>
  <c r="D17" i="72"/>
  <c r="H12" i="41"/>
  <c r="H34" i="41"/>
  <c r="H8" i="41"/>
  <c r="H49" i="41"/>
  <c r="H33" i="41"/>
  <c r="H9" i="41"/>
  <c r="H48" i="41"/>
  <c r="H13" i="41"/>
  <c r="H45" i="41"/>
  <c r="H14" i="41"/>
  <c r="H46" i="41"/>
  <c r="H15" i="41"/>
  <c r="H30" i="41"/>
  <c r="H24" i="41"/>
  <c r="D59" i="72"/>
  <c r="D34" i="72"/>
  <c r="I11" i="41"/>
  <c r="D24" i="72"/>
  <c r="D46" i="72"/>
  <c r="D14" i="72"/>
  <c r="H51" i="41"/>
  <c r="I20" i="41"/>
  <c r="I21" i="41"/>
  <c r="I59" i="41"/>
  <c r="I63" i="41"/>
  <c r="I44" i="41"/>
  <c r="I45" i="41"/>
  <c r="I51" i="41"/>
  <c r="I13" i="41"/>
  <c r="I30" i="41"/>
  <c r="I24" i="41"/>
  <c r="I54" i="41"/>
  <c r="I29" i="41"/>
  <c r="I40" i="41"/>
  <c r="I56" i="41"/>
  <c r="I33" i="41"/>
  <c r="I27" i="41"/>
  <c r="I64" i="41"/>
  <c r="I57" i="41"/>
  <c r="I10" i="41"/>
  <c r="I55" i="41"/>
  <c r="I12" i="41"/>
  <c r="I9" i="41"/>
  <c r="I42" i="41"/>
  <c r="I23" i="41"/>
  <c r="I39" i="41"/>
  <c r="I34" i="41"/>
  <c r="I16" i="41"/>
  <c r="I7" i="41"/>
  <c r="I14" i="41"/>
  <c r="I48" i="41"/>
  <c r="I37" i="41"/>
  <c r="I36" i="41"/>
  <c r="I22" i="41"/>
  <c r="I50" i="41"/>
  <c r="I46" i="41"/>
  <c r="I49" i="41"/>
  <c r="I28" i="41"/>
  <c r="I62" i="41"/>
  <c r="I15" i="41"/>
  <c r="I43" i="41"/>
  <c r="I61" i="41"/>
  <c r="I35" i="41"/>
  <c r="I58" i="41"/>
  <c r="I18" i="41"/>
  <c r="I19" i="41"/>
  <c r="I25" i="41"/>
  <c r="I47" i="41"/>
  <c r="I26" i="41"/>
  <c r="I60" i="41"/>
  <c r="G22" i="72"/>
  <c r="H22" i="72"/>
  <c r="G59" i="72"/>
  <c r="H59" i="72"/>
  <c r="G39" i="72"/>
  <c r="H39" i="72"/>
  <c r="G32" i="72"/>
  <c r="H32" i="72"/>
  <c r="G55" i="72"/>
  <c r="H55" i="72"/>
  <c r="G54" i="72"/>
  <c r="H54" i="72"/>
  <c r="G38" i="72"/>
  <c r="H38" i="72"/>
  <c r="G17" i="72"/>
  <c r="H17" i="72"/>
  <c r="G34" i="72"/>
  <c r="H34" i="72"/>
  <c r="G46" i="72"/>
  <c r="H46" i="72"/>
  <c r="G14" i="72"/>
  <c r="H14" i="72"/>
  <c r="G35" i="72"/>
  <c r="H35" i="72"/>
  <c r="G33" i="72"/>
  <c r="H33" i="72"/>
  <c r="G57" i="72"/>
  <c r="H57" i="72"/>
  <c r="G48" i="72"/>
  <c r="H48" i="72"/>
  <c r="G50" i="72"/>
  <c r="H50" i="72"/>
  <c r="G42" i="72"/>
  <c r="H42" i="72"/>
  <c r="G18" i="72"/>
  <c r="H18" i="72"/>
  <c r="G56" i="72"/>
  <c r="H56" i="72"/>
  <c r="G43" i="72"/>
  <c r="H43" i="72"/>
  <c r="G44" i="72"/>
  <c r="H44" i="72"/>
  <c r="G24" i="72"/>
  <c r="H24" i="72"/>
  <c r="G53" i="72"/>
  <c r="H53" i="72"/>
  <c r="G41" i="72"/>
  <c r="H41" i="72"/>
  <c r="G49" i="72"/>
  <c r="H49" i="72"/>
  <c r="G25" i="72"/>
  <c r="H25" i="72"/>
  <c r="G15" i="72"/>
  <c r="H15" i="72"/>
  <c r="G26" i="72"/>
  <c r="H26" i="72"/>
  <c r="G29" i="72"/>
  <c r="H29" i="72"/>
  <c r="G62" i="72"/>
  <c r="H62" i="72"/>
  <c r="G28" i="72"/>
  <c r="H28" i="72"/>
  <c r="G36" i="72"/>
  <c r="H36" i="72"/>
  <c r="G63" i="72"/>
  <c r="H63" i="72"/>
  <c r="G21" i="72"/>
  <c r="H21" i="72"/>
  <c r="G47" i="72"/>
  <c r="H47" i="72"/>
  <c r="G45" i="72"/>
  <c r="H45" i="72"/>
  <c r="G61" i="72"/>
  <c r="H61" i="72"/>
  <c r="G20" i="72"/>
  <c r="H20" i="72"/>
  <c r="G6" i="72"/>
  <c r="H6" i="72"/>
  <c r="G9" i="72"/>
  <c r="H9" i="72"/>
  <c r="G12" i="72"/>
  <c r="H12" i="72"/>
  <c r="D67" i="72"/>
  <c r="G16" i="72"/>
  <c r="H16" i="72"/>
  <c r="J17" i="41"/>
  <c r="O17" i="41"/>
  <c r="V46" i="41"/>
  <c r="J46" i="41"/>
  <c r="O46" i="41"/>
  <c r="U46" i="41"/>
  <c r="J37" i="41"/>
  <c r="O37" i="41"/>
  <c r="U37" i="41"/>
  <c r="V37" i="41"/>
  <c r="U27" i="41"/>
  <c r="J27" i="41"/>
  <c r="O27" i="41"/>
  <c r="V27" i="41"/>
  <c r="U42" i="41"/>
  <c r="V42" i="41"/>
  <c r="J42" i="41"/>
  <c r="O42" i="41"/>
  <c r="V44" i="41"/>
  <c r="U44" i="41"/>
  <c r="J44" i="41"/>
  <c r="O44" i="41"/>
  <c r="J51" i="41"/>
  <c r="O51" i="41"/>
  <c r="V51" i="41"/>
  <c r="U51" i="41"/>
  <c r="U36" i="41"/>
  <c r="J36" i="41"/>
  <c r="O36" i="41"/>
  <c r="V36" i="41"/>
  <c r="J18" i="41"/>
  <c r="O18" i="41"/>
  <c r="U18" i="41"/>
  <c r="V18" i="41"/>
  <c r="J33" i="41"/>
  <c r="O33" i="41"/>
  <c r="V33" i="41"/>
  <c r="U33" i="41"/>
  <c r="U48" i="41"/>
  <c r="V48" i="41"/>
  <c r="J48" i="41"/>
  <c r="O48" i="41"/>
  <c r="U29" i="41"/>
  <c r="V29" i="41"/>
  <c r="J29" i="41"/>
  <c r="O29" i="41"/>
  <c r="U16" i="41"/>
  <c r="V16" i="41"/>
  <c r="J16" i="41"/>
  <c r="O16" i="41"/>
  <c r="V54" i="41"/>
  <c r="J54" i="41"/>
  <c r="O54" i="41"/>
  <c r="U54" i="41"/>
  <c r="V57" i="41"/>
  <c r="U57" i="41"/>
  <c r="J57" i="41"/>
  <c r="O57" i="41"/>
  <c r="J49" i="41"/>
  <c r="O49" i="41"/>
  <c r="V49" i="41"/>
  <c r="U49" i="41"/>
  <c r="J15" i="41"/>
  <c r="O15" i="41"/>
  <c r="V15" i="41"/>
  <c r="U15" i="41"/>
  <c r="J39" i="41"/>
  <c r="O39" i="41"/>
  <c r="V39" i="41"/>
  <c r="U39" i="41"/>
  <c r="U40" i="41"/>
  <c r="J40" i="41"/>
  <c r="O40" i="41"/>
  <c r="V40" i="41"/>
  <c r="V21" i="41"/>
  <c r="J21" i="41"/>
  <c r="O21" i="41"/>
  <c r="U21" i="41"/>
  <c r="U22" i="41"/>
  <c r="J22" i="41"/>
  <c r="O22" i="41"/>
  <c r="V22" i="41"/>
  <c r="J63" i="41"/>
  <c r="O63" i="41"/>
  <c r="V63" i="41"/>
  <c r="U63" i="41"/>
  <c r="U26" i="41"/>
  <c r="J26" i="41"/>
  <c r="O26" i="41"/>
  <c r="V26" i="41"/>
  <c r="J25" i="41"/>
  <c r="O25" i="41"/>
  <c r="U25" i="41"/>
  <c r="V25" i="41"/>
  <c r="J19" i="41"/>
  <c r="O19" i="41"/>
  <c r="V19" i="41"/>
  <c r="U19" i="41"/>
  <c r="V58" i="41"/>
  <c r="J58" i="41"/>
  <c r="O58" i="41"/>
  <c r="U58" i="41"/>
  <c r="U47" i="41"/>
  <c r="J47" i="41"/>
  <c r="O47" i="41"/>
  <c r="V47" i="41"/>
  <c r="U55" i="41"/>
  <c r="V55" i="41"/>
  <c r="J55" i="41"/>
  <c r="O55" i="41"/>
  <c r="J60" i="41"/>
  <c r="O60" i="41"/>
  <c r="V60" i="41"/>
  <c r="U60" i="41"/>
  <c r="V62" i="41"/>
  <c r="J62" i="41"/>
  <c r="O62" i="41"/>
  <c r="U62" i="41"/>
  <c r="J64" i="41"/>
  <c r="O64" i="41"/>
  <c r="V64" i="41"/>
  <c r="U64" i="41"/>
  <c r="J30" i="41"/>
  <c r="O30" i="41"/>
  <c r="U30" i="41"/>
  <c r="V30" i="41"/>
  <c r="V50" i="41"/>
  <c r="J50" i="41"/>
  <c r="O50" i="41"/>
  <c r="U50" i="41"/>
  <c r="V45" i="41"/>
  <c r="U45" i="41"/>
  <c r="J45" i="41"/>
  <c r="O45" i="41"/>
  <c r="U43" i="41"/>
  <c r="V43" i="41"/>
  <c r="J43" i="41"/>
  <c r="O43" i="41"/>
  <c r="U34" i="41"/>
  <c r="J34" i="41"/>
  <c r="O34" i="41"/>
  <c r="V34" i="41"/>
  <c r="V35" i="41"/>
  <c r="J35" i="41"/>
  <c r="O35" i="41"/>
  <c r="U35" i="41"/>
  <c r="J56" i="41"/>
  <c r="O56" i="41"/>
  <c r="V56" i="41"/>
  <c r="U56" i="41"/>
  <c r="J23" i="41"/>
  <c r="O23" i="41"/>
  <c r="V23" i="41"/>
  <c r="U23" i="41"/>
  <c r="U13" i="41"/>
  <c r="J13" i="41"/>
  <c r="O13" i="41"/>
  <c r="V13" i="41"/>
  <c r="J10" i="41"/>
  <c r="O10" i="41"/>
  <c r="V10" i="41"/>
  <c r="U10" i="41"/>
  <c r="U7" i="41"/>
  <c r="V7" i="41"/>
  <c r="J7" i="41"/>
  <c r="O7" i="41"/>
  <c r="U17" i="41"/>
  <c r="G4" i="72"/>
  <c r="G40" i="72"/>
  <c r="H40" i="72"/>
  <c r="V41" i="41"/>
  <c r="V17" i="41"/>
  <c r="W17" i="41"/>
  <c r="AB17" i="41"/>
  <c r="G19" i="72"/>
  <c r="H19" i="72"/>
  <c r="U20" i="41"/>
  <c r="G11" i="72"/>
  <c r="H11" i="72"/>
  <c r="U12" i="41"/>
  <c r="G30" i="72"/>
  <c r="H30" i="72"/>
  <c r="G58" i="72"/>
  <c r="H58" i="72"/>
  <c r="U59" i="41"/>
  <c r="G37" i="72"/>
  <c r="H37" i="72"/>
  <c r="J38" i="41"/>
  <c r="O38" i="41"/>
  <c r="G7" i="72"/>
  <c r="H7" i="72"/>
  <c r="J8" i="41"/>
  <c r="O8" i="41"/>
  <c r="G23" i="72"/>
  <c r="H23" i="72"/>
  <c r="G27" i="72"/>
  <c r="H27" i="72"/>
  <c r="V28" i="41"/>
  <c r="G51" i="72"/>
  <c r="H51" i="72"/>
  <c r="G8" i="72"/>
  <c r="H8" i="72"/>
  <c r="J9" i="41"/>
  <c r="O9" i="41"/>
  <c r="G60" i="72"/>
  <c r="H60" i="72"/>
  <c r="J61" i="41"/>
  <c r="O61" i="41"/>
  <c r="G31" i="72"/>
  <c r="H31" i="72"/>
  <c r="J32" i="41"/>
  <c r="O32" i="41"/>
  <c r="G13" i="72"/>
  <c r="H13" i="72"/>
  <c r="V14" i="41"/>
  <c r="G10" i="72"/>
  <c r="H10" i="72"/>
  <c r="J11" i="41"/>
  <c r="O11" i="41"/>
  <c r="G52" i="72"/>
  <c r="H52" i="72"/>
  <c r="V61" i="41"/>
  <c r="J24" i="41"/>
  <c r="O24" i="41"/>
  <c r="J41" i="41"/>
  <c r="O41" i="41"/>
  <c r="U31" i="41"/>
  <c r="U41" i="41"/>
  <c r="W41" i="41"/>
  <c r="W51" i="41"/>
  <c r="AB51" i="41"/>
  <c r="D51" i="93"/>
  <c r="W56" i="41"/>
  <c r="W34" i="41"/>
  <c r="AB34" i="41"/>
  <c r="D34" i="93"/>
  <c r="W62" i="41"/>
  <c r="AB62" i="41"/>
  <c r="W63" i="41"/>
  <c r="AB63" i="41"/>
  <c r="W39" i="41"/>
  <c r="AB39" i="41"/>
  <c r="W44" i="41"/>
  <c r="AB44" i="41"/>
  <c r="AD44" i="41"/>
  <c r="W58" i="41"/>
  <c r="AB58" i="41"/>
  <c r="W54" i="41"/>
  <c r="AB54" i="41"/>
  <c r="AB56" i="41"/>
  <c r="AD56" i="41"/>
  <c r="W46" i="41"/>
  <c r="AB46" i="41"/>
  <c r="W10" i="41"/>
  <c r="AB10" i="41"/>
  <c r="AD10" i="41"/>
  <c r="W35" i="41"/>
  <c r="AB35" i="41"/>
  <c r="D35" i="93"/>
  <c r="W43" i="41"/>
  <c r="AB43" i="41"/>
  <c r="W50" i="41"/>
  <c r="AB50" i="41"/>
  <c r="D50" i="93"/>
  <c r="W30" i="41"/>
  <c r="AB30" i="41"/>
  <c r="AD30" i="41"/>
  <c r="W60" i="41"/>
  <c r="AB60" i="41"/>
  <c r="W47" i="41"/>
  <c r="AB47" i="41"/>
  <c r="W19" i="41"/>
  <c r="AB19" i="41"/>
  <c r="D19" i="93"/>
  <c r="W25" i="41"/>
  <c r="AB25" i="41"/>
  <c r="W26" i="41"/>
  <c r="AB26" i="41"/>
  <c r="W40" i="41"/>
  <c r="AB40" i="41"/>
  <c r="W15" i="41"/>
  <c r="AB15" i="41"/>
  <c r="D15" i="93"/>
  <c r="W48" i="41"/>
  <c r="AB48" i="41"/>
  <c r="W23" i="41"/>
  <c r="AB23" i="41"/>
  <c r="W45" i="41"/>
  <c r="AB45" i="41"/>
  <c r="W16" i="41"/>
  <c r="AB16" i="41"/>
  <c r="D16" i="93"/>
  <c r="W29" i="41"/>
  <c r="AB29" i="41"/>
  <c r="W33" i="41"/>
  <c r="AB33" i="41"/>
  <c r="W18" i="41"/>
  <c r="AB18" i="41"/>
  <c r="W36" i="41"/>
  <c r="AB36" i="41"/>
  <c r="W27" i="41"/>
  <c r="AB27" i="41"/>
  <c r="W55" i="41"/>
  <c r="AB55" i="41"/>
  <c r="W64" i="41"/>
  <c r="AB64" i="41"/>
  <c r="W22" i="41"/>
  <c r="AB22" i="41"/>
  <c r="W42" i="41"/>
  <c r="AB42" i="41"/>
  <c r="W21" i="41"/>
  <c r="AB21" i="41"/>
  <c r="W49" i="41"/>
  <c r="AB49" i="41"/>
  <c r="W57" i="41"/>
  <c r="AB57" i="41"/>
  <c r="W37" i="41"/>
  <c r="AB37" i="41"/>
  <c r="W7" i="41"/>
  <c r="AB7" i="41"/>
  <c r="W13" i="41"/>
  <c r="AB13" i="41"/>
  <c r="U28" i="41"/>
  <c r="W28" i="41"/>
  <c r="J59" i="41"/>
  <c r="O59" i="41"/>
  <c r="U38" i="41"/>
  <c r="V20" i="41"/>
  <c r="W20" i="41"/>
  <c r="V59" i="41"/>
  <c r="W59" i="41"/>
  <c r="U11" i="41"/>
  <c r="V9" i="41"/>
  <c r="V11" i="41"/>
  <c r="J52" i="41"/>
  <c r="O52" i="41"/>
  <c r="J12" i="41"/>
  <c r="O12" i="41"/>
  <c r="V38" i="41"/>
  <c r="U52" i="41"/>
  <c r="W52" i="41"/>
  <c r="J14" i="41"/>
  <c r="O14" i="41"/>
  <c r="U14" i="41"/>
  <c r="W14" i="41"/>
  <c r="J28" i="41"/>
  <c r="O28" i="41"/>
  <c r="V12" i="41"/>
  <c r="W12" i="41"/>
  <c r="J20" i="41"/>
  <c r="O20" i="41"/>
  <c r="V31" i="41"/>
  <c r="W31" i="41"/>
  <c r="J31" i="41"/>
  <c r="O31" i="41"/>
  <c r="V24" i="41"/>
  <c r="U24" i="41"/>
  <c r="V8" i="41"/>
  <c r="U8" i="41"/>
  <c r="U61" i="41"/>
  <c r="W61" i="41"/>
  <c r="AB61" i="41"/>
  <c r="AD61" i="41"/>
  <c r="V32" i="41"/>
  <c r="U9" i="41"/>
  <c r="W9" i="41"/>
  <c r="AB9" i="41"/>
  <c r="D9" i="93"/>
  <c r="U32" i="41"/>
  <c r="J53" i="41"/>
  <c r="O53" i="41"/>
  <c r="U53" i="41"/>
  <c r="V53" i="41"/>
  <c r="AB41" i="41"/>
  <c r="AD41" i="41"/>
  <c r="AB28" i="41"/>
  <c r="D28" i="93"/>
  <c r="AD35" i="41"/>
  <c r="AD58" i="41"/>
  <c r="D58" i="93"/>
  <c r="D30" i="93"/>
  <c r="D56" i="93"/>
  <c r="AD19" i="41"/>
  <c r="AD15" i="41"/>
  <c r="AD50" i="41"/>
  <c r="AD51" i="41"/>
  <c r="AD34" i="41"/>
  <c r="AD16" i="41"/>
  <c r="D10" i="93"/>
  <c r="AD45" i="41"/>
  <c r="D45" i="93"/>
  <c r="D23" i="93"/>
  <c r="AD23" i="41"/>
  <c r="D44" i="93"/>
  <c r="D22" i="93"/>
  <c r="AD22" i="41"/>
  <c r="D57" i="93"/>
  <c r="AD57" i="41"/>
  <c r="AD64" i="41"/>
  <c r="D64" i="93"/>
  <c r="D63" i="93"/>
  <c r="AD63" i="41"/>
  <c r="D46" i="93"/>
  <c r="AD46" i="41"/>
  <c r="D48" i="93"/>
  <c r="AD48" i="41"/>
  <c r="D60" i="93"/>
  <c r="AD60" i="41"/>
  <c r="D18" i="93"/>
  <c r="AD18" i="41"/>
  <c r="D49" i="93"/>
  <c r="AD49" i="41"/>
  <c r="AD26" i="41"/>
  <c r="D26" i="93"/>
  <c r="AD27" i="41"/>
  <c r="D27" i="93"/>
  <c r="AD42" i="41"/>
  <c r="D42" i="93"/>
  <c r="D54" i="93"/>
  <c r="AD54" i="41"/>
  <c r="AD62" i="41"/>
  <c r="D62" i="93"/>
  <c r="AD37" i="41"/>
  <c r="D37" i="93"/>
  <c r="D40" i="93"/>
  <c r="AD40" i="41"/>
  <c r="D47" i="93"/>
  <c r="AD47" i="41"/>
  <c r="D29" i="93"/>
  <c r="AD29" i="41"/>
  <c r="AD36" i="41"/>
  <c r="D36" i="93"/>
  <c r="AD39" i="41"/>
  <c r="D39" i="93"/>
  <c r="D33" i="93"/>
  <c r="AD33" i="41"/>
  <c r="D21" i="93"/>
  <c r="AD21" i="41"/>
  <c r="D55" i="93"/>
  <c r="AD55" i="41"/>
  <c r="D43" i="93"/>
  <c r="AD43" i="41"/>
  <c r="D25" i="93"/>
  <c r="AD25" i="41"/>
  <c r="D7" i="93"/>
  <c r="AD7" i="41"/>
  <c r="AD13" i="41"/>
  <c r="D13" i="93"/>
  <c r="AD17" i="41"/>
  <c r="D17" i="93"/>
  <c r="AB59" i="41"/>
  <c r="D59" i="93"/>
  <c r="W38" i="41"/>
  <c r="AB38" i="41"/>
  <c r="AD38" i="41"/>
  <c r="AB20" i="41"/>
  <c r="AD20" i="41"/>
  <c r="AB14" i="41"/>
  <c r="AD14" i="41"/>
  <c r="AB12" i="41"/>
  <c r="AD12" i="41"/>
  <c r="W11" i="41"/>
  <c r="AB11" i="41"/>
  <c r="D11" i="93"/>
  <c r="W8" i="41"/>
  <c r="AB8" i="41"/>
  <c r="D8" i="93"/>
  <c r="AB52" i="41"/>
  <c r="D52" i="93"/>
  <c r="AB31" i="41"/>
  <c r="D31" i="93"/>
  <c r="AD9" i="41"/>
  <c r="W32" i="41"/>
  <c r="AB32" i="41"/>
  <c r="D32" i="93"/>
  <c r="W24" i="41"/>
  <c r="AB24" i="41"/>
  <c r="AD24" i="41"/>
  <c r="O65" i="41"/>
  <c r="D61" i="93"/>
  <c r="V65" i="41"/>
  <c r="U65" i="41"/>
  <c r="D41" i="93"/>
  <c r="W53" i="41"/>
  <c r="AB53" i="41"/>
  <c r="AD59" i="41"/>
  <c r="AD28" i="41"/>
  <c r="D38" i="93"/>
  <c r="D20" i="93"/>
  <c r="D14" i="93"/>
  <c r="D12" i="93"/>
  <c r="AD52" i="41"/>
  <c r="AD31" i="41"/>
  <c r="AD8" i="41"/>
  <c r="D24" i="93"/>
  <c r="AD11" i="41"/>
  <c r="AB65" i="41"/>
  <c r="AC8" i="41"/>
  <c r="AD32" i="41"/>
  <c r="D53" i="93"/>
  <c r="AD53" i="41"/>
  <c r="W65" i="41"/>
  <c r="AC31" i="41"/>
  <c r="D65" i="93"/>
  <c r="E21" i="93"/>
  <c r="AC57" i="41"/>
  <c r="AC14" i="41"/>
  <c r="AC43" i="41"/>
  <c r="AC45" i="41"/>
  <c r="AC33" i="41"/>
  <c r="AC44" i="41"/>
  <c r="AC61" i="41"/>
  <c r="AC28" i="41"/>
  <c r="AC56" i="41"/>
  <c r="AC16" i="41"/>
  <c r="AC48" i="41"/>
  <c r="AC41" i="41"/>
  <c r="AC24" i="41"/>
  <c r="AC11" i="41"/>
  <c r="AC51" i="41"/>
  <c r="AC36" i="41"/>
  <c r="AC39" i="41"/>
  <c r="AC34" i="41"/>
  <c r="AC20" i="41"/>
  <c r="AC38" i="41"/>
  <c r="AC19" i="41"/>
  <c r="AC54" i="41"/>
  <c r="AC60" i="41"/>
  <c r="AC30" i="41"/>
  <c r="AC26" i="41"/>
  <c r="AC18" i="41"/>
  <c r="AC37" i="41"/>
  <c r="AC15" i="41"/>
  <c r="AC59" i="41"/>
  <c r="AC52" i="41"/>
  <c r="AC32" i="41"/>
  <c r="AC46" i="41"/>
  <c r="AC7" i="41"/>
  <c r="AC25" i="41"/>
  <c r="AC50" i="41"/>
  <c r="AC23" i="41"/>
  <c r="AC64" i="41"/>
  <c r="AC13" i="41"/>
  <c r="AC47" i="41"/>
  <c r="AC42" i="41"/>
  <c r="AC49" i="41"/>
  <c r="AC40" i="41"/>
  <c r="AC17" i="41"/>
  <c r="AC53" i="41"/>
  <c r="AC9" i="41"/>
  <c r="AC12" i="41"/>
  <c r="AC29" i="41"/>
  <c r="AC62" i="41"/>
  <c r="AC22" i="41"/>
  <c r="AC35" i="41"/>
  <c r="AC55" i="41"/>
  <c r="AC10" i="41"/>
  <c r="AC27" i="41"/>
  <c r="AC58" i="41"/>
  <c r="AC21" i="41"/>
  <c r="AC63" i="41"/>
  <c r="E49" i="93"/>
  <c r="E63" i="93"/>
  <c r="E56" i="93"/>
  <c r="E16" i="93"/>
  <c r="E54" i="93"/>
  <c r="E50" i="93"/>
  <c r="E33" i="93"/>
  <c r="E36" i="93"/>
  <c r="E64" i="93"/>
  <c r="E35" i="93"/>
  <c r="E10" i="93"/>
  <c r="E48" i="93"/>
  <c r="E55" i="93"/>
  <c r="E60" i="93"/>
  <c r="E7" i="93"/>
  <c r="E12" i="93"/>
  <c r="E31" i="93"/>
  <c r="E32" i="93"/>
  <c r="E59" i="93"/>
  <c r="E38" i="93"/>
  <c r="E61" i="93"/>
  <c r="E24" i="93"/>
  <c r="E41" i="93"/>
  <c r="E8" i="93"/>
  <c r="E44" i="93"/>
  <c r="E30" i="93"/>
  <c r="E29" i="93"/>
  <c r="E34" i="93"/>
  <c r="E18" i="93"/>
  <c r="E53" i="93"/>
  <c r="E52" i="93"/>
  <c r="E28" i="93"/>
  <c r="E46" i="93"/>
  <c r="E22" i="93"/>
  <c r="E42" i="93"/>
  <c r="E43" i="93"/>
  <c r="E51" i="93"/>
  <c r="E45" i="93"/>
  <c r="E17" i="93"/>
  <c r="E9" i="93"/>
  <c r="E14" i="93"/>
  <c r="E11" i="93"/>
  <c r="E47" i="93"/>
  <c r="E15" i="93"/>
  <c r="E13" i="93"/>
  <c r="E25" i="93"/>
  <c r="E23" i="93"/>
  <c r="E27" i="93"/>
  <c r="E58" i="93"/>
  <c r="E57" i="93"/>
  <c r="E26" i="93"/>
  <c r="E40" i="93"/>
  <c r="E20" i="93"/>
  <c r="E39" i="93"/>
  <c r="E62" i="93"/>
  <c r="E19" i="93"/>
  <c r="E37" i="93"/>
  <c r="AC65" i="41"/>
  <c r="E65" i="93"/>
</calcChain>
</file>

<file path=xl/sharedStrings.xml><?xml version="1.0" encoding="utf-8"?>
<sst xmlns="http://schemas.openxmlformats.org/spreadsheetml/2006/main" count="981" uniqueCount="257">
  <si>
    <t>Total</t>
  </si>
  <si>
    <t>B</t>
  </si>
  <si>
    <t>D</t>
  </si>
  <si>
    <t>E</t>
  </si>
  <si>
    <t>Alpine</t>
  </si>
  <si>
    <t>Amador</t>
  </si>
  <si>
    <t>Calaveras</t>
  </si>
  <si>
    <t>Colusa</t>
  </si>
  <si>
    <t>Del Norte</t>
  </si>
  <si>
    <t>Glenn</t>
  </si>
  <si>
    <t>Inyo</t>
  </si>
  <si>
    <t>Lassen</t>
  </si>
  <si>
    <t>Mariposa</t>
  </si>
  <si>
    <t>Modoc</t>
  </si>
  <si>
    <t>Mono</t>
  </si>
  <si>
    <t>Plumas</t>
  </si>
  <si>
    <t>San Benito</t>
  </si>
  <si>
    <t>Sierra</t>
  </si>
  <si>
    <t>Trinity</t>
  </si>
  <si>
    <t>Butte</t>
  </si>
  <si>
    <t>El Dorado</t>
  </si>
  <si>
    <t>Humboldt</t>
  </si>
  <si>
    <t>Imperial</t>
  </si>
  <si>
    <t>Kings</t>
  </si>
  <si>
    <t>Lake</t>
  </si>
  <si>
    <t>Madera</t>
  </si>
  <si>
    <t>Marin</t>
  </si>
  <si>
    <t>Mendocino</t>
  </si>
  <si>
    <t>Merced</t>
  </si>
  <si>
    <t>Napa</t>
  </si>
  <si>
    <t>Nevada</t>
  </si>
  <si>
    <t>Placer</t>
  </si>
  <si>
    <t>San Luis Obispo</t>
  </si>
  <si>
    <t>Santa Cruz</t>
  </si>
  <si>
    <t>Shasta</t>
  </si>
  <si>
    <t>Siskiyou</t>
  </si>
  <si>
    <t>Sutter</t>
  </si>
  <si>
    <t>Tehama</t>
  </si>
  <si>
    <t>Tuolumne</t>
  </si>
  <si>
    <t>Yolo</t>
  </si>
  <si>
    <t>Yuba</t>
  </si>
  <si>
    <t>Contra Costa</t>
  </si>
  <si>
    <t>Fresno</t>
  </si>
  <si>
    <t>Kern</t>
  </si>
  <si>
    <t>Monterey</t>
  </si>
  <si>
    <t>San Joaquin</t>
  </si>
  <si>
    <t>San Mateo</t>
  </si>
  <si>
    <t>Santa Barbara</t>
  </si>
  <si>
    <t>Solano</t>
  </si>
  <si>
    <t>Sonoma</t>
  </si>
  <si>
    <t>Stanislaus</t>
  </si>
  <si>
    <t>Tulare</t>
  </si>
  <si>
    <t>Ventura</t>
  </si>
  <si>
    <t>Alameda</t>
  </si>
  <si>
    <t>Los Angeles</t>
  </si>
  <si>
    <t>Orange</t>
  </si>
  <si>
    <t>Riverside</t>
  </si>
  <si>
    <t>Sacramento</t>
  </si>
  <si>
    <t>San Bernardino</t>
  </si>
  <si>
    <t>San Diego</t>
  </si>
  <si>
    <t>San Francisco</t>
  </si>
  <si>
    <t>Santa Clara</t>
  </si>
  <si>
    <t>Statewide</t>
  </si>
  <si>
    <t>Court</t>
  </si>
  <si>
    <t>NOTES:</t>
  </si>
  <si>
    <t>A</t>
  </si>
  <si>
    <t>C</t>
  </si>
  <si>
    <t>Total Benefit Need Based on RAS FTE Need</t>
  </si>
  <si>
    <t>Cluster</t>
  </si>
  <si>
    <t>Final FTE Dollar Factor</t>
  </si>
  <si>
    <t>State Employment More than 50% of Govt Workforce?</t>
  </si>
  <si>
    <t>% State</t>
  </si>
  <si>
    <t>% Local</t>
  </si>
  <si>
    <t>County</t>
  </si>
  <si>
    <t>WAFM Need</t>
  </si>
  <si>
    <t>Graduated Funding Floor That Would Apply</t>
  </si>
  <si>
    <t>M</t>
  </si>
  <si>
    <t>WAFM Post BLS FTE Allotment: Median</t>
  </si>
  <si>
    <t>Smaller of Floor vs. PY plus 10%</t>
  </si>
  <si>
    <t>Larger of Actual Cap vs. CY</t>
  </si>
  <si>
    <t>Average of Courts' Average RAS-Related Salaries</t>
  </si>
  <si>
    <t>Median</t>
  </si>
  <si>
    <t>Share of reduction</t>
  </si>
  <si>
    <t>F</t>
  </si>
  <si>
    <t>H</t>
  </si>
  <si>
    <t>I</t>
  </si>
  <si>
    <t>L</t>
  </si>
  <si>
    <t>Program 10 (Operations) Staff Need</t>
  </si>
  <si>
    <t>Program 90 (Administration) Staff Need</t>
  </si>
  <si>
    <t>Infractions</t>
  </si>
  <si>
    <t>Criminal</t>
  </si>
  <si>
    <t>Civil</t>
  </si>
  <si>
    <t>Juvenile</t>
  </si>
  <si>
    <t xml:space="preserve">F </t>
  </si>
  <si>
    <t>Allocation Reduction Base</t>
  </si>
  <si>
    <t>Reduction Allocation</t>
  </si>
  <si>
    <t>Determine Adjusted Allocation if Floor Applies</t>
  </si>
  <si>
    <t>% of Statewide Need</t>
  </si>
  <si>
    <t>Eligible for FTE Floor (&lt;50)?</t>
  </si>
  <si>
    <t>Change from Funding Floor Adjustments</t>
  </si>
  <si>
    <t>Average</t>
  </si>
  <si>
    <t>Previous Year Need (2017-18)</t>
  </si>
  <si>
    <t xml:space="preserve">Previous Year Allocation (2017-18) </t>
  </si>
  <si>
    <t>Previous Year % of Need</t>
  </si>
  <si>
    <t>Difference Between % of Need and State Avg.</t>
  </si>
  <si>
    <t xml:space="preserve">Current Year Allocation (2018-19) </t>
  </si>
  <si>
    <t>Current Year Need (2018-19)</t>
  </si>
  <si>
    <t>Current  Year % of Need</t>
  </si>
  <si>
    <t>Difference in Funding (Year to Year)</t>
  </si>
  <si>
    <t>Difference in Need (Year to Year)</t>
  </si>
  <si>
    <t>Percent Difference</t>
  </si>
  <si>
    <t>Floor Allocation Adjustment*</t>
  </si>
  <si>
    <t xml:space="preserve">* The floor allocation adjustment formula was changed to add a clause that brought the two absolute floor courts (Alpine and Sierra) back to the floor if they were to start out above the floor amount. </t>
  </si>
  <si>
    <t>GG</t>
  </si>
  <si>
    <t>G</t>
  </si>
  <si>
    <t>J</t>
  </si>
  <si>
    <t>K</t>
  </si>
  <si>
    <t>N</t>
  </si>
  <si>
    <t>TAB</t>
  </si>
  <si>
    <t>RAS</t>
  </si>
  <si>
    <t>AVG RAS Salary</t>
  </si>
  <si>
    <t>* Much of the ratios come from the 7A and as discussed there were two versions of the 7A (the "Colin" version that Suzanne used and the "Joe" version used for RAS). WAFM has been recalculated using the RAS version as it seems more accurate</t>
  </si>
  <si>
    <t xml:space="preserve">FTE Allotment Factor </t>
  </si>
  <si>
    <t xml:space="preserve">This comes from the 7A. Total Filled FTE and Total Salaries for specified positions. </t>
  </si>
  <si>
    <t>BLS</t>
  </si>
  <si>
    <t>This uses the latest 3-year average (local average is used unless State employees are over 50% of government workforce - in that case, the State/Local Average is used)</t>
  </si>
  <si>
    <r>
      <t xml:space="preserve">To calculate this value, the BLS is multiplied by the </t>
    </r>
    <r>
      <rPr>
        <b/>
        <i/>
        <sz val="11"/>
        <color theme="1"/>
        <rFont val="Calibri"/>
        <family val="2"/>
        <scheme val="minor"/>
      </rPr>
      <t xml:space="preserve">Average RAS Salary </t>
    </r>
    <r>
      <rPr>
        <sz val="11"/>
        <color theme="1"/>
        <rFont val="Calibri"/>
        <family val="2"/>
        <scheme val="minor"/>
      </rPr>
      <t xml:space="preserve">(average of each court's average salary per FTE) to get an </t>
    </r>
    <r>
      <rPr>
        <b/>
        <i/>
        <sz val="11"/>
        <color theme="1"/>
        <rFont val="Calibri"/>
        <family val="2"/>
        <scheme val="minor"/>
      </rPr>
      <t>FTE Dollar Factor Applied</t>
    </r>
    <r>
      <rPr>
        <sz val="11"/>
        <color theme="1"/>
        <rFont val="Calibri"/>
        <family val="2"/>
        <scheme val="minor"/>
      </rPr>
      <t xml:space="preserve">. If the court has under 50 FTE and their FTE Dollar Factor Applied is less than the median value for all courts under 50 FTE, then the aforementioned median (for under 50 FTE courts) is used. This is refered to as the </t>
    </r>
    <r>
      <rPr>
        <b/>
        <i/>
        <sz val="11"/>
        <color theme="1"/>
        <rFont val="Calibri"/>
        <family val="2"/>
        <scheme val="minor"/>
      </rPr>
      <t>Post-BLS FTE Allotment Median</t>
    </r>
  </si>
  <si>
    <t>Program 10</t>
  </si>
  <si>
    <t>Program 90</t>
  </si>
  <si>
    <t>CEO Salary</t>
  </si>
  <si>
    <t>OE&amp;E by Cluster</t>
  </si>
  <si>
    <t>Floor Adjustment</t>
  </si>
  <si>
    <t>Previous Year</t>
  </si>
  <si>
    <t>Current Year</t>
  </si>
  <si>
    <r>
      <t xml:space="preserve">Summed from the 7A: Total Filled FTE, Total Salary, Salary Driven Benefits and Non-Salary Driven Benefits. Calculates percent of salary driven benefits and actual non-salary driven benefits for the </t>
    </r>
    <r>
      <rPr>
        <b/>
        <i/>
        <sz val="11"/>
        <color theme="1"/>
        <rFont val="Calibri"/>
        <family val="2"/>
        <scheme val="minor"/>
      </rPr>
      <t>WAFM Need</t>
    </r>
    <r>
      <rPr>
        <sz val="11"/>
        <color theme="1"/>
        <rFont val="Calibri"/>
        <family val="2"/>
        <scheme val="minor"/>
      </rPr>
      <t xml:space="preserve"> Tab</t>
    </r>
  </si>
  <si>
    <r>
      <t xml:space="preserve">Taken from the 7A: Filled FTE and Total Salary. Used in the </t>
    </r>
    <r>
      <rPr>
        <b/>
        <i/>
        <sz val="11"/>
        <color theme="1"/>
        <rFont val="Calibri"/>
        <family val="2"/>
        <scheme val="minor"/>
      </rPr>
      <t xml:space="preserve">CEO Salary </t>
    </r>
    <r>
      <rPr>
        <sz val="11"/>
        <color theme="1"/>
        <rFont val="Calibri"/>
        <family val="2"/>
        <scheme val="minor"/>
      </rPr>
      <t>Tab. Cluster average calculated and used in the</t>
    </r>
    <r>
      <rPr>
        <b/>
        <i/>
        <sz val="11"/>
        <color theme="1"/>
        <rFont val="Calibri"/>
        <family val="2"/>
        <scheme val="minor"/>
      </rPr>
      <t xml:space="preserve"> WAFM Need </t>
    </r>
    <r>
      <rPr>
        <sz val="11"/>
        <color theme="1"/>
        <rFont val="Calibri"/>
        <family val="2"/>
        <scheme val="minor"/>
      </rPr>
      <t xml:space="preserve">Tab </t>
    </r>
  </si>
  <si>
    <r>
      <t xml:space="preserve">Calculated outside of this worksheet and copy/pasted for use in the </t>
    </r>
    <r>
      <rPr>
        <b/>
        <i/>
        <sz val="11"/>
        <color theme="1"/>
        <rFont val="Calibri"/>
        <family val="2"/>
        <scheme val="minor"/>
      </rPr>
      <t>WAFM Need</t>
    </r>
    <r>
      <rPr>
        <sz val="11"/>
        <color theme="1"/>
        <rFont val="Calibri"/>
        <family val="2"/>
        <scheme val="minor"/>
      </rPr>
      <t xml:space="preserve"> Tab</t>
    </r>
  </si>
  <si>
    <t>Floors</t>
  </si>
  <si>
    <r>
      <t xml:space="preserve">This is a reference document used in the </t>
    </r>
    <r>
      <rPr>
        <b/>
        <i/>
        <sz val="11"/>
        <color theme="1"/>
        <rFont val="Calibri"/>
        <family val="2"/>
        <scheme val="minor"/>
      </rPr>
      <t>Floor Adjustment</t>
    </r>
    <r>
      <rPr>
        <sz val="11"/>
        <color theme="1"/>
        <rFont val="Calibri"/>
        <family val="2"/>
        <scheme val="minor"/>
      </rPr>
      <t xml:space="preserve"> Tab</t>
    </r>
  </si>
  <si>
    <t xml:space="preserve">Copy/Paste Previous Year's Data </t>
  </si>
  <si>
    <r>
      <rPr>
        <b/>
        <i/>
        <sz val="11"/>
        <color theme="1"/>
        <rFont val="Calibri"/>
        <family val="2"/>
        <scheme val="minor"/>
      </rPr>
      <t>Total 2018-19 WAFM-Related Allocation (Prior to implementing funding floor)</t>
    </r>
    <r>
      <rPr>
        <sz val="11"/>
        <color theme="1"/>
        <rFont val="Calibri"/>
        <family val="2"/>
        <scheme val="minor"/>
      </rPr>
      <t xml:space="preserve"> is pasted from the WAFM Base worksheet and used in the Floor Adjustment Tab. The WAFM Need comes from the WAFM Need Tab.</t>
    </r>
  </si>
  <si>
    <t>RAS 
Total 
FTE Need</t>
  </si>
  <si>
    <t>FTE Need Multiplied by FTE Allotment Factor, 
Prior to Bureau of Labor Statistics (BLS) Adjustment</t>
  </si>
  <si>
    <t>RAS FTE Need 
Multiplied by 
Average RAS 
Salary</t>
  </si>
  <si>
    <t xml:space="preserve">CEO w/ BLS 
Adjustment </t>
  </si>
  <si>
    <t>O</t>
  </si>
  <si>
    <t>P</t>
  </si>
  <si>
    <t>Q</t>
  </si>
  <si>
    <t>R</t>
  </si>
  <si>
    <t>S</t>
  </si>
  <si>
    <t>U</t>
  </si>
  <si>
    <t>Adjust Base Dollars for 
Local Cost of Labor; Apply 
FTE Dollar Factor</t>
  </si>
  <si>
    <t>Pre-Benefits 
Adjusted 
Base</t>
  </si>
  <si>
    <t>Projected Benefits Expenses 
(Salary-Driven Benefits Based on Adjusted Base)</t>
  </si>
  <si>
    <t>Average % of
 Salary-Driven
Benefits 
Program 10</t>
  </si>
  <si>
    <t>Average Actual
Non Salary-
Driven Benefits
per FTE 
Program 10</t>
  </si>
  <si>
    <t>Average % of Salary-Driven Benefits 
Program 90</t>
  </si>
  <si>
    <t>Average Actual
Non Salary-
Driven Benefits
per FTE 
Program 90</t>
  </si>
  <si>
    <t>Benefits Needed 
for RAS FTE Need
Program 10</t>
  </si>
  <si>
    <t>Benefits Needed 
for RAS FTE Need
Program 90</t>
  </si>
  <si>
    <t>T</t>
  </si>
  <si>
    <t>Total 
Program 10 
Need 
(A thru F)</t>
  </si>
  <si>
    <r>
      <t xml:space="preserve">RAS 
FTE Need
Program 10
</t>
    </r>
    <r>
      <rPr>
        <b/>
        <sz val="10"/>
        <color theme="1"/>
        <rFont val="Calibri"/>
        <family val="2"/>
        <scheme val="minor"/>
      </rPr>
      <t>(Operations)</t>
    </r>
  </si>
  <si>
    <r>
      <t xml:space="preserve">RAS 
FTE Need
Program 90
</t>
    </r>
    <r>
      <rPr>
        <b/>
        <sz val="10"/>
        <color theme="1"/>
        <rFont val="Calibri"/>
        <family val="2"/>
        <scheme val="minor"/>
      </rPr>
      <t>(Administration)</t>
    </r>
  </si>
  <si>
    <r>
      <t>Non-RAS FTE (for Program 90 Need Calculation)</t>
    </r>
    <r>
      <rPr>
        <b/>
        <sz val="11"/>
        <color theme="1"/>
        <rFont val="Calibri"/>
        <family val="2"/>
      </rPr>
      <t>²</t>
    </r>
  </si>
  <si>
    <t>Family 
Law</t>
  </si>
  <si>
    <t>Court Interpreter 
FTE</t>
  </si>
  <si>
    <t>Manager /  Supervisor 
Ratio 
(by Cluster)</t>
  </si>
  <si>
    <t>Manager / Supervisor Need 
(G + GG ) / H</t>
  </si>
  <si>
    <t>Total 
Program 10 Need, 
Rounded up 
(G + I)</t>
  </si>
  <si>
    <t>Program 90 Need, Rounded up 
(J + K) / L</t>
  </si>
  <si>
    <t>Program 90 Ratio 
(by Cluster)</t>
  </si>
  <si>
    <r>
      <t>Average Salary for RAS-Related FTEs</t>
    </r>
    <r>
      <rPr>
        <b/>
        <sz val="11"/>
        <color theme="1"/>
        <rFont val="Calibri"/>
        <family val="2"/>
      </rPr>
      <t>²</t>
    </r>
  </si>
  <si>
    <t>² Salaries and FTEs exclude those related to non-court-operations Program, Element, Component, and Task (PECTs), Subordinate Judicial Officers, Court Executive Officers, marshals, court attendants, interpreters and interpreter coordinators, and vacant positions.</t>
  </si>
  <si>
    <r>
      <t>Average Resource Assessment Study (RAS) Salary</t>
    </r>
    <r>
      <rPr>
        <b/>
        <sz val="14"/>
        <color theme="1"/>
        <rFont val="Calibri"/>
        <family val="2"/>
      </rPr>
      <t>¹</t>
    </r>
  </si>
  <si>
    <t>Totals</t>
  </si>
  <si>
    <t>Total Filled 
Full-Time Equivalents (FTEs)</t>
  </si>
  <si>
    <t>Total 
Salaries</t>
  </si>
  <si>
    <t>Bureau of Labor Statistics (BLS)¹</t>
  </si>
  <si>
    <t>3-Year Average 
BLS Factor 
(50% Workforce Threshold)</t>
  </si>
  <si>
    <t>Probate / 
Mental
Health</t>
  </si>
  <si>
    <t>Three-Year Average BLS</t>
  </si>
  <si>
    <t>Local (92)</t>
  </si>
  <si>
    <t>State (92)</t>
  </si>
  <si>
    <t>State &amp; 
Local 92</t>
  </si>
  <si>
    <t>Full-Time Equivalent (FTE) Allotment Factor</t>
  </si>
  <si>
    <t>Sum of Total 
Annual Salary</t>
  </si>
  <si>
    <t>Sum of Full-Time Equivalent (FTE) 
Position</t>
  </si>
  <si>
    <t>WAFM Calculated 
Need</t>
  </si>
  <si>
    <t>Workload-based Allocation and Funding Methodology (WAFM) Floors</t>
  </si>
  <si>
    <t>Determination of Workload-based Funding Methodology (WAFM) Funding Floor</t>
  </si>
  <si>
    <t>Current Adjusted Allocation if No Floor Applied</t>
  </si>
  <si>
    <t>Apply Floor? Yes, if 
D &gt; E</t>
  </si>
  <si>
    <t>Adjusted Allocation if No Floor Applied</t>
  </si>
  <si>
    <r>
      <t>¹</t>
    </r>
    <r>
      <rPr>
        <i/>
        <sz val="9.35"/>
        <color theme="1"/>
        <rFont val="Calibri"/>
        <family val="2"/>
      </rPr>
      <t xml:space="preserve"> </t>
    </r>
    <r>
      <rPr>
        <i/>
        <sz val="11"/>
        <color theme="1"/>
        <rFont val="Calibri"/>
        <family val="2"/>
      </rPr>
      <t>For the graduated floor, the lower of the floor or prior-year allocation plus 10%.</t>
    </r>
  </si>
  <si>
    <r>
      <t>Funding 
Floor</t>
    </r>
    <r>
      <rPr>
        <b/>
        <sz val="11"/>
        <color theme="1"/>
        <rFont val="Calibri"/>
        <family val="2"/>
      </rPr>
      <t>¹</t>
    </r>
    <r>
      <rPr>
        <b/>
        <sz val="11"/>
        <color theme="1"/>
        <rFont val="Calibri"/>
        <family val="2"/>
        <scheme val="minor"/>
      </rPr>
      <t xml:space="preserve"> </t>
    </r>
  </si>
  <si>
    <t>Prior Year Plus 
10%</t>
  </si>
  <si>
    <t>OE&amp;E / Full-Time Equivalent 
(FTE) Weighted Mean</t>
  </si>
  <si>
    <t>Operating Expenditures and Equipment (OE&amp;E) by Cluster¹</t>
  </si>
  <si>
    <t>Court Executive Officer Salary</t>
  </si>
  <si>
    <t>Sum of Total 
Salary-Driven 
Benefits</t>
  </si>
  <si>
    <t>Sum of Total 
Non Salary-Driven Benefits</t>
  </si>
  <si>
    <t>Average % of 
Salary-Driven 
Benefits</t>
  </si>
  <si>
    <t xml:space="preserve">Average Actual 
Non Salary-Driven Benefits per FTE </t>
  </si>
  <si>
    <r>
      <t xml:space="preserve">Position 
</t>
    </r>
    <r>
      <rPr>
        <b/>
        <sz val="9"/>
        <color theme="1"/>
        <rFont val="Calibri"/>
        <family val="2"/>
        <scheme val="minor"/>
      </rPr>
      <t>(Full-Time Equivalent)</t>
    </r>
  </si>
  <si>
    <t>Bureau of Labor Statistics (BLS) Factor</t>
  </si>
  <si>
    <t>FTE 
Need</t>
  </si>
  <si>
    <t>April 26, 2019</t>
  </si>
  <si>
    <t>April, 26, 2019</t>
  </si>
  <si>
    <t>Courts whose workload need falls below 800,000 shall be allocated the base floor of 800,000</t>
  </si>
  <si>
    <t xml:space="preserve">This is currently calculated by Khulan and Copy/Pasted into this sheet. There are no calculations or references to other sheets. </t>
  </si>
  <si>
    <t>Total WF Funding Need
(J + Q + R - S)</t>
  </si>
  <si>
    <t xml:space="preserve">Proportion of Total WF Estimated Funding Need </t>
  </si>
  <si>
    <t>COURT</t>
  </si>
  <si>
    <t xml:space="preserve">CSC </t>
  </si>
  <si>
    <t>FLF</t>
  </si>
  <si>
    <t>TOTAL</t>
  </si>
  <si>
    <t xml:space="preserve">¹ FTE Work Year Value = 1,643 hours </t>
  </si>
  <si>
    <t>Court Number</t>
  </si>
  <si>
    <t>Total 2021-22 RAS Need 
(J + M)</t>
  </si>
  <si>
    <r>
      <t>2021-22 Resource Assessment Study (RAS) Full-Time Equivalent (FTE) Need</t>
    </r>
    <r>
      <rPr>
        <b/>
        <sz val="14"/>
        <color theme="1"/>
        <rFont val="Calibri"/>
        <family val="2"/>
      </rPr>
      <t>¹</t>
    </r>
  </si>
  <si>
    <t>March 29, 2021</t>
  </si>
  <si>
    <t>FY19/20 AB 1058 Costs</t>
  </si>
  <si>
    <t>FY 19/20 AB 1058 Costs</t>
  </si>
  <si>
    <t>April 1, 2021</t>
  </si>
  <si>
    <t>¹ 2017 - 2019 data.</t>
  </si>
  <si>
    <t>No</t>
  </si>
  <si>
    <t>Yes</t>
  </si>
  <si>
    <r>
      <rPr>
        <sz val="11"/>
        <color theme="1"/>
        <rFont val="Calibri"/>
        <family val="2"/>
      </rPr>
      <t>²</t>
    </r>
    <r>
      <rPr>
        <i/>
        <sz val="9.35"/>
        <color theme="1"/>
        <rFont val="Calibri"/>
        <family val="2"/>
      </rPr>
      <t xml:space="preserve"> </t>
    </r>
    <r>
      <rPr>
        <i/>
        <sz val="11"/>
        <color theme="1"/>
        <rFont val="Calibri"/>
        <family val="2"/>
        <scheme val="minor"/>
      </rPr>
      <t>Reported on 2020-21 Schedule 7A; non-RAS staff include categories such as Subordinate Judicial Officers, Enhanced Collections Staff, and Interpreters.</t>
    </r>
  </si>
  <si>
    <t>Edited: April 15, 2021</t>
  </si>
  <si>
    <t>¹ Updated three year average (2017-18 to 2019-20); changes to GL, PECT and Fund inclusion/exclusion approved by FMS have been incorporated in this OEE calculation.</t>
  </si>
  <si>
    <t>updated 4/13/21</t>
  </si>
  <si>
    <t>2020-21</t>
  </si>
  <si>
    <t>April 13, 2021</t>
  </si>
  <si>
    <t>¹ Using 2020-21 data.</t>
  </si>
  <si>
    <t>¹ 2019-20 data.</t>
  </si>
  <si>
    <t>April 21, 2021</t>
  </si>
  <si>
    <t>2021-22 Workload Formula</t>
  </si>
  <si>
    <r>
      <t>Resource Assessment Study (RAS) Model Full-Time Equivalent 
(FTE) Need</t>
    </r>
    <r>
      <rPr>
        <b/>
        <vertAlign val="superscript"/>
        <sz val="11"/>
        <color theme="1"/>
        <rFont val="Calibri"/>
        <family val="2"/>
        <scheme val="minor"/>
      </rPr>
      <t>1,2</t>
    </r>
  </si>
  <si>
    <r>
      <t xml:space="preserve">¹Estimated need based on three-year average filings data from </t>
    </r>
    <r>
      <rPr>
        <i/>
        <sz val="11"/>
        <rFont val="Calibri"/>
        <family val="2"/>
        <scheme val="minor"/>
      </rPr>
      <t>2017-2018 through 2019-20.</t>
    </r>
    <r>
      <rPr>
        <i/>
        <sz val="11"/>
        <color theme="1"/>
        <rFont val="Calibri"/>
        <family val="2"/>
        <scheme val="minor"/>
      </rPr>
      <t xml:space="preserve"> </t>
    </r>
  </si>
  <si>
    <r>
      <rPr>
        <i/>
        <vertAlign val="superscript"/>
        <sz val="11"/>
        <rFont val="Calibri"/>
        <family val="2"/>
        <scheme val="minor"/>
      </rPr>
      <t>5</t>
    </r>
    <r>
      <rPr>
        <i/>
        <sz val="11"/>
        <rFont val="Calibri"/>
        <family val="2"/>
        <scheme val="minor"/>
      </rPr>
      <t>BLS Cost of Labor adjustment based on Quarterly Census of Wages &amp; Employment, three-year average from 2017 through 2019. Salaries of Local Government used for comparison based on Public Administration (North American Industrial Classification System, 92) unless proportion of state government workers in total employment exceeds 50% in which case  three-year average of local and state salaries for Public Administration is used for comparison.</t>
    </r>
  </si>
  <si>
    <r>
      <rPr>
        <i/>
        <vertAlign val="superscript"/>
        <sz val="11"/>
        <color theme="1"/>
        <rFont val="Calibri"/>
        <family val="2"/>
        <scheme val="minor"/>
      </rPr>
      <t>6</t>
    </r>
    <r>
      <rPr>
        <i/>
        <sz val="11"/>
        <color theme="1"/>
        <rFont val="Calibri"/>
        <family val="2"/>
        <scheme val="minor"/>
      </rPr>
      <t>From 2020-21 Schedule 7A</t>
    </r>
  </si>
  <si>
    <r>
      <rPr>
        <i/>
        <vertAlign val="superscript"/>
        <sz val="11"/>
        <color theme="1"/>
        <rFont val="Calibri"/>
        <family val="2"/>
        <scheme val="minor"/>
      </rPr>
      <t>7</t>
    </r>
    <r>
      <rPr>
        <i/>
        <sz val="11"/>
        <color theme="1"/>
        <rFont val="Calibri"/>
        <family val="2"/>
        <scheme val="minor"/>
      </rPr>
      <t>OE&amp;E Based on Cluster Average 
OE&amp;E / FTE (Cluster 1: $; Clusters 2-4: $) 
using 2017-18 to 2019-20 data</t>
    </r>
  </si>
  <si>
    <r>
      <rPr>
        <vertAlign val="superscript"/>
        <sz val="11"/>
        <color theme="1"/>
        <rFont val="Calibri"/>
        <family val="2"/>
        <scheme val="minor"/>
      </rPr>
      <t>8</t>
    </r>
    <r>
      <rPr>
        <sz val="11"/>
        <color theme="1"/>
        <rFont val="Calibri"/>
        <family val="2"/>
        <scheme val="minor"/>
      </rPr>
      <t>2018-19 data</t>
    </r>
  </si>
  <si>
    <r>
      <t>RAS FTE Need 
Multiplied by 
BLS
(Avg. Salary * BLS)</t>
    </r>
    <r>
      <rPr>
        <b/>
        <vertAlign val="superscript"/>
        <sz val="11"/>
        <color theme="1"/>
        <rFont val="Calibri"/>
        <family val="2"/>
        <scheme val="minor"/>
      </rPr>
      <t>3</t>
    </r>
  </si>
  <si>
    <r>
      <t>RAS FTE Need 
Multiplied by 
Allotment Factor w/
&lt; 50 FTE &amp; Median Adjustments</t>
    </r>
    <r>
      <rPr>
        <b/>
        <vertAlign val="superscript"/>
        <sz val="10"/>
        <color theme="1"/>
        <rFont val="Calibri"/>
        <family val="2"/>
      </rPr>
      <t>3</t>
    </r>
  </si>
  <si>
    <r>
      <t>Court Executive 
Officer (CEO) 
Cluster Average 
Salary</t>
    </r>
    <r>
      <rPr>
        <b/>
        <vertAlign val="superscript"/>
        <sz val="10"/>
        <rFont val="Calibri"/>
        <family val="2"/>
        <scheme val="minor"/>
      </rPr>
      <t>4</t>
    </r>
  </si>
  <si>
    <r>
      <t>BLS 
Factor</t>
    </r>
    <r>
      <rPr>
        <b/>
        <vertAlign val="superscript"/>
        <sz val="11"/>
        <color theme="1"/>
        <rFont val="Calibri"/>
        <family val="2"/>
        <scheme val="minor"/>
      </rPr>
      <t>5</t>
    </r>
  </si>
  <si>
    <r>
      <t>Average Salary-Driven Benefits as % of Salary and 
Average Non Salary-Driven Benefits Per FTE</t>
    </r>
    <r>
      <rPr>
        <b/>
        <vertAlign val="superscript"/>
        <sz val="11"/>
        <rFont val="Calibri"/>
        <family val="2"/>
        <scheme val="minor"/>
      </rPr>
      <t>6</t>
    </r>
  </si>
  <si>
    <r>
      <t xml:space="preserve">Estimated OE&amp;E Needed; 
Excludes funding 
for </t>
    </r>
    <r>
      <rPr>
        <b/>
        <i/>
        <sz val="11"/>
        <color theme="0"/>
        <rFont val="Calibri"/>
        <family val="2"/>
        <scheme val="minor"/>
      </rPr>
      <t>operations</t>
    </r>
    <r>
      <rPr>
        <b/>
        <sz val="11"/>
        <color theme="0"/>
        <rFont val="Calibri"/>
        <family val="2"/>
        <scheme val="minor"/>
      </rPr>
      <t xml:space="preserve"> contracts</t>
    </r>
    <r>
      <rPr>
        <b/>
        <vertAlign val="superscript"/>
        <sz val="11"/>
        <color theme="0"/>
        <rFont val="Calibri"/>
        <family val="2"/>
      </rPr>
      <t>7</t>
    </r>
  </si>
  <si>
    <r>
      <t>Remove AB 1058 Staff/Family Law Facilitator Costs</t>
    </r>
    <r>
      <rPr>
        <b/>
        <vertAlign val="superscript"/>
        <sz val="11"/>
        <color theme="0"/>
        <rFont val="Calibri"/>
        <family val="2"/>
        <scheme val="minor"/>
      </rPr>
      <t>8</t>
    </r>
  </si>
  <si>
    <r>
      <rPr>
        <i/>
        <vertAlign val="superscript"/>
        <sz val="11"/>
        <color theme="1"/>
        <rFont val="Calibri"/>
        <family val="2"/>
        <scheme val="minor"/>
      </rPr>
      <t>2</t>
    </r>
    <r>
      <rPr>
        <i/>
        <sz val="11"/>
        <color theme="1"/>
        <rFont val="Calibri"/>
        <family val="2"/>
        <scheme val="minor"/>
      </rPr>
      <t xml:space="preserve">On April 23rd, 2021, WAAC approved the use of an extrapolation method for FY 2019-20 filings that were impacted by the COVID-19 pandemic.  </t>
    </r>
  </si>
  <si>
    <r>
      <rPr>
        <i/>
        <vertAlign val="superscript"/>
        <sz val="11"/>
        <color theme="1"/>
        <rFont val="Calibri"/>
        <family val="2"/>
        <scheme val="minor"/>
      </rPr>
      <t>3</t>
    </r>
    <r>
      <rPr>
        <i/>
        <sz val="11"/>
        <color theme="1"/>
        <rFont val="Calibri"/>
        <family val="2"/>
        <scheme val="minor"/>
      </rPr>
      <t>Unadjusted base funding per RAS FTE, based on 2020-21 Schedule 7A; does not include collections staff, Subordinate Judicial Officers, CEO, security, or vacant positions. In January 2014, the Trial Court Budget Advisory Committee approved a dollar factor adjustment for courts with fewer than 50 FTE.</t>
    </r>
  </si>
  <si>
    <r>
      <rPr>
        <i/>
        <vertAlign val="superscript"/>
        <sz val="11"/>
        <color theme="1"/>
        <rFont val="Calibri"/>
        <family val="2"/>
        <scheme val="minor"/>
      </rPr>
      <t>4</t>
    </r>
    <r>
      <rPr>
        <i/>
        <sz val="11"/>
        <color theme="1"/>
        <rFont val="Calibri"/>
        <family val="2"/>
        <scheme val="minor"/>
      </rPr>
      <t>2020-21 data</t>
    </r>
  </si>
  <si>
    <t>Jun 17, 2021</t>
  </si>
  <si>
    <t xml:space="preserve">June 17, 2021 </t>
  </si>
  <si>
    <r>
      <rPr>
        <vertAlign val="superscript"/>
        <sz val="11"/>
        <rFont val="Calibri"/>
        <family val="2"/>
        <scheme val="minor"/>
      </rPr>
      <t>2</t>
    </r>
    <r>
      <rPr>
        <sz val="11"/>
        <rFont val="Calibri"/>
        <family val="2"/>
        <scheme val="minor"/>
      </rPr>
      <t xml:space="preserve">Current BLS data is not available for Sierra. The most recent BLS factor from 2014 is used.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</si>
</sst>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41" formatCode="_(* #,##0_);_(* \(#,##0\);_(* &quot;-&quot;_);_(@_)"/>
    <numFmt numFmtId="44" formatCode="_(&quot;$&quot;* #,##0.00_);_(&quot;$&quot;* \(#,##0.00\);_(&quot;$&quot;* &quot;-&quot;??_);_(@_)"/>
    <numFmt numFmtId="43" formatCode="_(* #,##0.00_);_(* \(#,##0.00\);_(* &quot;-&quot;??_);_(@_)"/>
    <numFmt numFmtId="164" formatCode="&quot;$&quot;#,##0"/>
    <numFmt numFmtId="165" formatCode="0.0%"/>
    <numFmt numFmtId="166" formatCode="_(* #,##0_);_(* \(#,##0\);_(* &quot;-&quot;??_);_(@_)"/>
    <numFmt numFmtId="167" formatCode="_(&quot;$&quot;* #,##0_);_(&quot;$&quot;* \(#,##0\);_(&quot;$&quot;* &quot;-&quot;??_);_(@_)"/>
    <numFmt numFmtId="168" formatCode="_(* #,##0.0_);_(* \(#,##0.0\);_(* &quot;-&quot;??_);_(@_)"/>
    <numFmt numFmtId="169" formatCode="0.00000%"/>
  </numFmts>
  <fonts count="80" x14ac:knownFonts="1">
    <font>
      <sz val="11"/>
      <color theme="1"/>
      <name val="Calibri"/>
      <family val="2"/>
      <scheme val="minor"/>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1"/>
      <color theme="1"/>
      <name val="Calibri"/>
      <family val="2"/>
      <scheme val="minor"/>
    </font>
    <font>
      <i/>
      <sz val="11"/>
      <color theme="1"/>
      <name val="Calibri"/>
      <family val="2"/>
      <scheme val="minor"/>
    </font>
    <font>
      <b/>
      <sz val="11"/>
      <color theme="1"/>
      <name val="Calibri"/>
      <family val="2"/>
      <scheme val="minor"/>
    </font>
    <font>
      <sz val="10"/>
      <name val="Arial"/>
      <family val="2"/>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MS Sans Serif"/>
      <family val="2"/>
    </font>
    <font>
      <sz val="12"/>
      <color indexed="8"/>
      <name val="Times New Roman"/>
      <family val="2"/>
    </font>
    <font>
      <sz val="10"/>
      <color indexed="24"/>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18"/>
      <color indexed="56"/>
      <name val="Cambria"/>
      <family val="2"/>
    </font>
    <font>
      <b/>
      <sz val="11"/>
      <color indexed="8"/>
      <name val="Calibri"/>
      <family val="2"/>
    </font>
    <font>
      <sz val="11"/>
      <color indexed="10"/>
      <name val="Calibri"/>
      <family val="2"/>
    </font>
    <font>
      <b/>
      <sz val="12"/>
      <color theme="1"/>
      <name val="Calibri"/>
      <family val="2"/>
      <scheme val="minor"/>
    </font>
    <font>
      <sz val="11"/>
      <color theme="0"/>
      <name val="Calibri"/>
      <family val="2"/>
      <scheme val="minor"/>
    </font>
    <font>
      <sz val="11"/>
      <name val="Calibri"/>
      <family val="2"/>
      <scheme val="minor"/>
    </font>
    <font>
      <b/>
      <sz val="26"/>
      <color theme="1"/>
      <name val="Calibri"/>
      <family val="2"/>
      <scheme val="minor"/>
    </font>
    <font>
      <b/>
      <i/>
      <sz val="11"/>
      <color theme="1"/>
      <name val="Calibri"/>
      <family val="2"/>
      <scheme val="minor"/>
    </font>
    <font>
      <b/>
      <sz val="14"/>
      <color theme="1"/>
      <name val="Calibri"/>
      <family val="2"/>
      <scheme val="minor"/>
    </font>
    <font>
      <sz val="11"/>
      <color indexed="8"/>
      <name val="Calibri"/>
      <family val="2"/>
      <scheme val="minor"/>
    </font>
    <font>
      <b/>
      <sz val="11"/>
      <color indexed="8"/>
      <name val="Calibri"/>
      <family val="2"/>
      <scheme val="minor"/>
    </font>
    <font>
      <b/>
      <sz val="11"/>
      <name val="Calibri"/>
      <family val="2"/>
      <scheme val="minor"/>
    </font>
    <font>
      <b/>
      <sz val="14"/>
      <name val="Calibri"/>
      <family val="2"/>
      <scheme val="minor"/>
    </font>
    <font>
      <sz val="11"/>
      <name val="Calibri"/>
      <family val="2"/>
    </font>
    <font>
      <sz val="10"/>
      <color theme="1"/>
      <name val="Calibri"/>
      <family val="2"/>
      <scheme val="minor"/>
    </font>
    <font>
      <b/>
      <sz val="11"/>
      <color theme="1"/>
      <name val="Calibri"/>
      <family val="2"/>
    </font>
    <font>
      <b/>
      <sz val="11"/>
      <color theme="0"/>
      <name val="Calibri"/>
      <family val="2"/>
      <scheme val="minor"/>
    </font>
    <font>
      <sz val="11"/>
      <color rgb="FFFF0000"/>
      <name val="Calibri"/>
      <family val="2"/>
      <scheme val="minor"/>
    </font>
    <font>
      <b/>
      <sz val="10"/>
      <color theme="1"/>
      <name val="Calibri"/>
      <family val="2"/>
      <scheme val="minor"/>
    </font>
    <font>
      <sz val="11"/>
      <color theme="1"/>
      <name val="Calibri"/>
      <family val="2"/>
    </font>
    <font>
      <i/>
      <sz val="9.35"/>
      <color theme="1"/>
      <name val="Calibri"/>
      <family val="2"/>
    </font>
    <font>
      <i/>
      <sz val="11"/>
      <color theme="1"/>
      <name val="Calibri"/>
      <family val="2"/>
    </font>
    <font>
      <b/>
      <sz val="9"/>
      <color theme="1"/>
      <name val="Calibri"/>
      <family val="2"/>
      <scheme val="minor"/>
    </font>
    <font>
      <sz val="10"/>
      <color theme="0"/>
      <name val="Calibri"/>
      <family val="2"/>
      <scheme val="minor"/>
    </font>
    <font>
      <b/>
      <sz val="10"/>
      <name val="Calibri"/>
      <family val="2"/>
      <scheme val="minor"/>
    </font>
    <font>
      <b/>
      <i/>
      <sz val="11"/>
      <color theme="0"/>
      <name val="Calibri"/>
      <family val="2"/>
      <scheme val="minor"/>
    </font>
    <font>
      <b/>
      <sz val="14"/>
      <color theme="1"/>
      <name val="Calibri"/>
      <family val="2"/>
    </font>
    <font>
      <i/>
      <sz val="11"/>
      <name val="Calibri"/>
      <family val="2"/>
      <scheme val="minor"/>
    </font>
    <font>
      <i/>
      <sz val="11"/>
      <name val="Calibri"/>
      <family val="2"/>
    </font>
    <font>
      <sz val="11"/>
      <color theme="0" tint="-0.499984740745262"/>
      <name val="Calibri"/>
      <family val="2"/>
      <scheme val="minor"/>
    </font>
    <font>
      <b/>
      <sz val="11"/>
      <color theme="0" tint="-0.499984740745262"/>
      <name val="Calibri"/>
      <family val="2"/>
      <scheme val="minor"/>
    </font>
    <font>
      <b/>
      <sz val="12"/>
      <color theme="0"/>
      <name val="Calibri"/>
      <family val="2"/>
      <scheme val="minor"/>
    </font>
    <font>
      <sz val="11"/>
      <color theme="0" tint="-0.34998626667073579"/>
      <name val="Calibri"/>
      <family val="2"/>
      <scheme val="minor"/>
    </font>
    <font>
      <b/>
      <sz val="11"/>
      <color rgb="FFFF0000"/>
      <name val="Calibri"/>
      <family val="2"/>
      <scheme val="minor"/>
    </font>
    <font>
      <b/>
      <i/>
      <sz val="11"/>
      <color rgb="FFFF0000"/>
      <name val="Calibri"/>
      <family val="2"/>
      <scheme val="minor"/>
    </font>
    <font>
      <b/>
      <vertAlign val="superscript"/>
      <sz val="10"/>
      <name val="Calibri"/>
      <family val="2"/>
      <scheme val="minor"/>
    </font>
    <font>
      <i/>
      <vertAlign val="superscript"/>
      <sz val="11"/>
      <color theme="1"/>
      <name val="Calibri"/>
      <family val="2"/>
      <scheme val="minor"/>
    </font>
    <font>
      <b/>
      <vertAlign val="superscript"/>
      <sz val="11"/>
      <color theme="1"/>
      <name val="Calibri"/>
      <family val="2"/>
      <scheme val="minor"/>
    </font>
    <font>
      <b/>
      <vertAlign val="superscript"/>
      <sz val="11"/>
      <name val="Calibri"/>
      <family val="2"/>
      <scheme val="minor"/>
    </font>
    <font>
      <b/>
      <vertAlign val="superscript"/>
      <sz val="11"/>
      <color theme="0"/>
      <name val="Calibri"/>
      <family val="2"/>
    </font>
    <font>
      <i/>
      <sz val="12"/>
      <color theme="1"/>
      <name val="Calibri"/>
      <family val="2"/>
      <scheme val="minor"/>
    </font>
    <font>
      <b/>
      <vertAlign val="superscript"/>
      <sz val="11"/>
      <color theme="0"/>
      <name val="Calibri"/>
      <family val="2"/>
      <scheme val="minor"/>
    </font>
    <font>
      <vertAlign val="superscript"/>
      <sz val="11"/>
      <color theme="1"/>
      <name val="Calibri"/>
      <family val="2"/>
      <scheme val="minor"/>
    </font>
    <font>
      <i/>
      <vertAlign val="superscript"/>
      <sz val="11"/>
      <name val="Calibri"/>
      <family val="2"/>
      <scheme val="minor"/>
    </font>
    <font>
      <b/>
      <vertAlign val="superscript"/>
      <sz val="10"/>
      <color theme="1"/>
      <name val="Calibri"/>
      <family val="2"/>
    </font>
    <font>
      <vertAlign val="superscript"/>
      <sz val="11"/>
      <name val="Calibri"/>
      <family val="2"/>
      <scheme val="minor"/>
    </font>
  </fonts>
  <fills count="42">
    <fill>
      <patternFill patternType="none"/>
    </fill>
    <fill>
      <patternFill patternType="gray125"/>
    </fill>
    <fill>
      <patternFill patternType="solid">
        <fgColor theme="8"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79995117038483843"/>
        <bgColor indexed="65"/>
      </patternFill>
    </fill>
    <fill>
      <patternFill patternType="solid">
        <fgColor theme="9" tint="0.79995117038483843"/>
        <bgColor indexed="65"/>
      </patternFill>
    </fill>
    <fill>
      <patternFill patternType="solid">
        <fgColor theme="4" tint="0.79995117038483843"/>
        <bgColor indexed="65"/>
      </patternFill>
    </fill>
    <fill>
      <patternFill patternType="solid">
        <fgColor rgb="FFFFFF00"/>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499984740745262"/>
        <bgColor indexed="64"/>
      </patternFill>
    </fill>
    <fill>
      <patternFill patternType="solid">
        <fgColor rgb="FF2F7E91"/>
        <bgColor indexed="64"/>
      </patternFill>
    </fill>
    <fill>
      <patternFill patternType="solid">
        <fgColor rgb="FF5AB2CA"/>
        <bgColor indexed="64"/>
      </patternFill>
    </fill>
    <fill>
      <patternFill patternType="solid">
        <fgColor rgb="FF3593A9"/>
        <bgColor indexed="64"/>
      </patternFill>
    </fill>
    <fill>
      <patternFill patternType="solid">
        <fgColor theme="0" tint="-0.14999847407452621"/>
        <bgColor theme="4" tint="0.79998168889431442"/>
      </patternFill>
    </fill>
    <fill>
      <patternFill patternType="solid">
        <fgColor theme="8" tint="0.79998168889431442"/>
        <bgColor theme="4" tint="0.79998168889431442"/>
      </patternFill>
    </fill>
    <fill>
      <patternFill patternType="solid">
        <fgColor theme="8" tint="0.59999389629810485"/>
        <bgColor rgb="FF000000"/>
      </patternFill>
    </fill>
  </fills>
  <borders count="33">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30">
    <xf numFmtId="0" fontId="0" fillId="0" borderId="0"/>
    <xf numFmtId="9"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11" fillId="0" borderId="0"/>
    <xf numFmtId="0" fontId="11" fillId="0" borderId="0"/>
    <xf numFmtId="0" fontId="7" fillId="0" borderId="0"/>
    <xf numFmtId="43" fontId="7" fillId="0" borderId="0" applyFont="0" applyFill="0" applyBorder="0" applyAlignment="0" applyProtection="0"/>
    <xf numFmtId="43" fontId="8"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1" fillId="0" borderId="0"/>
    <xf numFmtId="0" fontId="8" fillId="0" borderId="0"/>
    <xf numFmtId="0" fontId="8" fillId="0" borderId="0"/>
    <xf numFmtId="0" fontId="8" fillId="0" borderId="0"/>
    <xf numFmtId="0" fontId="8" fillId="0" borderId="0"/>
    <xf numFmtId="9" fontId="7" fillId="0" borderId="0" applyFont="0" applyFill="0" applyBorder="0" applyAlignment="0" applyProtection="0"/>
    <xf numFmtId="9"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 fillId="0" borderId="0" applyFont="0" applyFill="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6" fillId="21" borderId="8" applyNumberFormat="0" applyAlignment="0" applyProtection="0"/>
    <xf numFmtId="0" fontId="16" fillId="21" borderId="8" applyNumberFormat="0" applyAlignment="0" applyProtection="0"/>
    <xf numFmtId="0" fontId="16" fillId="21" borderId="8" applyNumberFormat="0" applyAlignment="0" applyProtection="0"/>
    <xf numFmtId="0" fontId="16" fillId="21" borderId="8" applyNumberFormat="0" applyAlignment="0" applyProtection="0"/>
    <xf numFmtId="0" fontId="16" fillId="21" borderId="8" applyNumberFormat="0" applyAlignment="0" applyProtection="0"/>
    <xf numFmtId="0" fontId="17" fillId="22" borderId="9" applyNumberFormat="0" applyAlignment="0" applyProtection="0"/>
    <xf numFmtId="0" fontId="17" fillId="22" borderId="9" applyNumberFormat="0" applyAlignment="0" applyProtection="0"/>
    <xf numFmtId="0" fontId="17" fillId="22" borderId="9" applyNumberFormat="0" applyAlignment="0" applyProtection="0"/>
    <xf numFmtId="0" fontId="17" fillId="22" borderId="9" applyNumberFormat="0" applyAlignment="0" applyProtection="0"/>
    <xf numFmtId="0" fontId="17" fillId="22" borderId="9" applyNumberFormat="0" applyAlignment="0" applyProtection="0"/>
    <xf numFmtId="43" fontId="13" fillId="0" borderId="0" applyFont="0" applyFill="0" applyBorder="0" applyAlignment="0" applyProtection="0"/>
    <xf numFmtId="43" fontId="1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9"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9" fillId="0" borderId="0" applyFont="0" applyFill="0" applyBorder="0" applyAlignment="0" applyProtection="0"/>
    <xf numFmtId="3" fontId="20" fillId="0" borderId="0" applyFont="0" applyFill="0" applyBorder="0" applyAlignment="0" applyProtection="0"/>
    <xf numFmtId="44" fontId="11" fillId="0" borderId="0" applyFont="0" applyFill="0" applyBorder="0" applyAlignment="0" applyProtection="0"/>
    <xf numFmtId="44" fontId="13"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8" borderId="8" applyNumberFormat="0" applyAlignment="0" applyProtection="0"/>
    <xf numFmtId="0" fontId="26" fillId="8" borderId="8" applyNumberFormat="0" applyAlignment="0" applyProtection="0"/>
    <xf numFmtId="0" fontId="26" fillId="8" borderId="8" applyNumberFormat="0" applyAlignment="0" applyProtection="0"/>
    <xf numFmtId="0" fontId="26" fillId="8" borderId="8" applyNumberFormat="0" applyAlignment="0" applyProtection="0"/>
    <xf numFmtId="0" fontId="26" fillId="8" borderId="8" applyNumberFormat="0" applyAlignment="0" applyProtection="0"/>
    <xf numFmtId="0" fontId="27" fillId="0" borderId="13" applyNumberFormat="0" applyFill="0" applyAlignment="0" applyProtection="0"/>
    <xf numFmtId="0" fontId="27" fillId="0" borderId="13" applyNumberFormat="0" applyFill="0" applyAlignment="0" applyProtection="0"/>
    <xf numFmtId="0" fontId="27" fillId="0" borderId="13" applyNumberFormat="0" applyFill="0" applyAlignment="0" applyProtection="0"/>
    <xf numFmtId="0" fontId="27" fillId="0" borderId="13" applyNumberFormat="0" applyFill="0" applyAlignment="0" applyProtection="0"/>
    <xf numFmtId="0" fontId="27" fillId="0" borderId="13" applyNumberFormat="0" applyFill="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18" fillId="0" borderId="0"/>
    <xf numFmtId="0" fontId="8" fillId="0" borderId="0"/>
    <xf numFmtId="0" fontId="8" fillId="0" borderId="0"/>
    <xf numFmtId="0" fontId="18" fillId="0" borderId="0"/>
    <xf numFmtId="0" fontId="11" fillId="0" borderId="0"/>
    <xf numFmtId="0" fontId="11" fillId="0" borderId="0"/>
    <xf numFmtId="0" fontId="13" fillId="0" borderId="0"/>
    <xf numFmtId="0" fontId="6" fillId="0" borderId="0"/>
    <xf numFmtId="0" fontId="11" fillId="0" borderId="0"/>
    <xf numFmtId="0" fontId="11" fillId="24" borderId="14" applyNumberFormat="0" applyFont="0" applyAlignment="0" applyProtection="0"/>
    <xf numFmtId="0" fontId="11" fillId="24" borderId="14" applyNumberFormat="0" applyFont="0" applyAlignment="0" applyProtection="0"/>
    <xf numFmtId="0" fontId="11" fillId="24" borderId="14" applyNumberFormat="0" applyFont="0" applyAlignment="0" applyProtection="0"/>
    <xf numFmtId="0" fontId="11" fillId="24" borderId="14" applyNumberFormat="0" applyFont="0" applyAlignment="0" applyProtection="0"/>
    <xf numFmtId="0" fontId="11" fillId="24" borderId="14" applyNumberFormat="0" applyFont="0" applyAlignment="0" applyProtection="0"/>
    <xf numFmtId="0" fontId="29" fillId="21" borderId="15" applyNumberFormat="0" applyAlignment="0" applyProtection="0"/>
    <xf numFmtId="0" fontId="29" fillId="21" borderId="15" applyNumberFormat="0" applyAlignment="0" applyProtection="0"/>
    <xf numFmtId="0" fontId="29" fillId="21" borderId="15" applyNumberFormat="0" applyAlignment="0" applyProtection="0"/>
    <xf numFmtId="0" fontId="29" fillId="21" borderId="15" applyNumberFormat="0" applyAlignment="0" applyProtection="0"/>
    <xf numFmtId="0" fontId="29" fillId="21" borderId="15" applyNumberFormat="0" applyAlignment="0" applyProtection="0"/>
    <xf numFmtId="40" fontId="30" fillId="25" borderId="0">
      <alignment horizontal="right"/>
    </xf>
    <xf numFmtId="0" fontId="31" fillId="25" borderId="0">
      <alignment horizontal="right"/>
    </xf>
    <xf numFmtId="0" fontId="32" fillId="25" borderId="1"/>
    <xf numFmtId="0" fontId="32" fillId="0" borderId="0" applyBorder="0">
      <alignment horizontal="centerContinuous"/>
    </xf>
    <xf numFmtId="0" fontId="33" fillId="0" borderId="0" applyBorder="0">
      <alignment horizontal="centerContinuous"/>
    </xf>
    <xf numFmtId="9" fontId="11" fillId="0" borderId="0" applyFont="0" applyFill="0" applyBorder="0" applyAlignment="0" applyProtection="0"/>
    <xf numFmtId="9" fontId="18" fillId="0" borderId="0" applyFont="0" applyFill="0" applyBorder="0" applyAlignment="0" applyProtection="0"/>
    <xf numFmtId="9" fontId="13" fillId="0" borderId="0" applyFon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0" borderId="16" applyNumberFormat="0" applyFill="0" applyAlignment="0" applyProtection="0"/>
    <xf numFmtId="0" fontId="35" fillId="0" borderId="16" applyNumberFormat="0" applyFill="0" applyAlignment="0" applyProtection="0"/>
    <xf numFmtId="0" fontId="35" fillId="0" borderId="16" applyNumberFormat="0" applyFill="0" applyAlignment="0" applyProtection="0"/>
    <xf numFmtId="0" fontId="35" fillId="0" borderId="16" applyNumberFormat="0" applyFill="0" applyAlignment="0" applyProtection="0"/>
    <xf numFmtId="0" fontId="35" fillId="0" borderId="16"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5" fillId="0" borderId="0"/>
    <xf numFmtId="43" fontId="5" fillId="0" borderId="0" applyFont="0" applyFill="0" applyBorder="0" applyAlignment="0" applyProtection="0"/>
    <xf numFmtId="0" fontId="11"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43" fontId="3" fillId="0" borderId="0" applyFont="0" applyFill="0" applyBorder="0" applyAlignment="0" applyProtection="0"/>
    <xf numFmtId="43" fontId="8"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8" fillId="0" borderId="0"/>
    <xf numFmtId="0" fontId="11" fillId="0" borderId="0"/>
    <xf numFmtId="0" fontId="18" fillId="0" borderId="0"/>
    <xf numFmtId="0" fontId="8" fillId="0" borderId="0"/>
    <xf numFmtId="0" fontId="1" fillId="0" borderId="0"/>
    <xf numFmtId="0" fontId="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43" fontId="13" fillId="0" borderId="0" applyFont="0" applyFill="0" applyBorder="0" applyAlignment="0" applyProtection="0"/>
    <xf numFmtId="43" fontId="8" fillId="0" borderId="0" applyFont="0" applyFill="0" applyBorder="0" applyAlignment="0" applyProtection="0"/>
    <xf numFmtId="0" fontId="8" fillId="0" borderId="0"/>
    <xf numFmtId="0" fontId="11" fillId="0" borderId="0"/>
    <xf numFmtId="0" fontId="8" fillId="0" borderId="0"/>
    <xf numFmtId="0" fontId="8" fillId="0" borderId="0"/>
    <xf numFmtId="0" fontId="8" fillId="0" borderId="0"/>
    <xf numFmtId="9" fontId="8" fillId="0" borderId="0" applyFont="0" applyFill="0" applyBorder="0" applyAlignment="0" applyProtection="0"/>
    <xf numFmtId="0" fontId="8" fillId="28" borderId="0" applyNumberFormat="0" applyBorder="0" applyAlignment="0" applyProtection="0"/>
    <xf numFmtId="0" fontId="8" fillId="29" borderId="0" applyNumberFormat="0" applyBorder="0" applyAlignment="0" applyProtection="0"/>
    <xf numFmtId="0" fontId="47" fillId="0" borderId="0"/>
    <xf numFmtId="0" fontId="8" fillId="30" borderId="0" applyNumberFormat="0" applyBorder="0" applyAlignment="0" applyProtection="0"/>
  </cellStyleXfs>
  <cellXfs count="347">
    <xf numFmtId="0" fontId="0" fillId="0" borderId="0" xfId="0"/>
    <xf numFmtId="0" fontId="39" fillId="0" borderId="0" xfId="22" applyFont="1"/>
    <xf numFmtId="0" fontId="46" fillId="0" borderId="0" xfId="22" applyFont="1"/>
    <xf numFmtId="0" fontId="10" fillId="0" borderId="0" xfId="0" applyFont="1"/>
    <xf numFmtId="0" fontId="0" fillId="0" borderId="0" xfId="0" applyAlignment="1">
      <alignment wrapText="1"/>
    </xf>
    <xf numFmtId="0" fontId="43" fillId="0" borderId="2" xfId="22" applyFont="1" applyFill="1" applyBorder="1" applyAlignment="1">
      <alignment horizontal="center"/>
    </xf>
    <xf numFmtId="0" fontId="43" fillId="0" borderId="2" xfId="22" applyFont="1" applyBorder="1" applyAlignment="1">
      <alignment horizontal="left"/>
    </xf>
    <xf numFmtId="0" fontId="43" fillId="0" borderId="2" xfId="22" applyFont="1" applyBorder="1" applyAlignment="1">
      <alignment horizontal="left" vertical="top" wrapText="1"/>
    </xf>
    <xf numFmtId="0" fontId="0" fillId="0" borderId="0" xfId="0" applyFont="1"/>
    <xf numFmtId="166" fontId="0" fillId="0" borderId="2" xfId="2" applyNumberFormat="1" applyFont="1" applyFill="1" applyBorder="1" applyAlignment="1">
      <alignment vertical="center"/>
    </xf>
    <xf numFmtId="0" fontId="10" fillId="2" borderId="2" xfId="291" applyFont="1" applyFill="1" applyBorder="1" applyAlignment="1">
      <alignment horizontal="center" vertical="center" wrapText="1"/>
    </xf>
    <xf numFmtId="10" fontId="10" fillId="2" borderId="2" xfId="1" applyNumberFormat="1" applyFont="1" applyFill="1" applyBorder="1" applyAlignment="1">
      <alignment horizontal="center" vertical="center" wrapText="1"/>
    </xf>
    <xf numFmtId="0" fontId="10" fillId="2" borderId="2" xfId="22" applyFont="1" applyFill="1" applyBorder="1" applyAlignment="1">
      <alignment horizontal="center" vertical="center" wrapText="1"/>
    </xf>
    <xf numFmtId="164" fontId="10" fillId="0" borderId="0" xfId="0" applyNumberFormat="1" applyFont="1"/>
    <xf numFmtId="165" fontId="10" fillId="0" borderId="0" xfId="0" applyNumberFormat="1" applyFont="1"/>
    <xf numFmtId="165" fontId="0" fillId="0" borderId="2" xfId="0" applyNumberFormat="1" applyFont="1" applyBorder="1"/>
    <xf numFmtId="0" fontId="0" fillId="0" borderId="0" xfId="0" applyFont="1" applyAlignment="1">
      <alignment wrapText="1"/>
    </xf>
    <xf numFmtId="0" fontId="10" fillId="0" borderId="0" xfId="0" applyFont="1" applyAlignment="1">
      <alignment wrapText="1"/>
    </xf>
    <xf numFmtId="0" fontId="42" fillId="0" borderId="0" xfId="6" applyFont="1" applyAlignment="1">
      <alignment horizontal="left" vertical="center"/>
    </xf>
    <xf numFmtId="0" fontId="0" fillId="0" borderId="21" xfId="6" applyFont="1" applyBorder="1"/>
    <xf numFmtId="0" fontId="48" fillId="0" borderId="0" xfId="281" applyFont="1"/>
    <xf numFmtId="0" fontId="12" fillId="0" borderId="0" xfId="6" applyFont="1"/>
    <xf numFmtId="0" fontId="10" fillId="0" borderId="0" xfId="6" applyFont="1" applyBorder="1"/>
    <xf numFmtId="164" fontId="0" fillId="0" borderId="2" xfId="0" applyNumberFormat="1" applyFont="1" applyBorder="1"/>
    <xf numFmtId="165" fontId="0" fillId="0" borderId="25" xfId="0" applyNumberFormat="1" applyFont="1" applyBorder="1"/>
    <xf numFmtId="0" fontId="0" fillId="0" borderId="22" xfId="6" applyFont="1" applyBorder="1"/>
    <xf numFmtId="164" fontId="0" fillId="0" borderId="23" xfId="0" applyNumberFormat="1" applyFont="1" applyBorder="1"/>
    <xf numFmtId="165" fontId="0" fillId="0" borderId="23" xfId="0" applyNumberFormat="1" applyFont="1" applyBorder="1"/>
    <xf numFmtId="165" fontId="0" fillId="0" borderId="26" xfId="0" applyNumberFormat="1" applyFont="1" applyBorder="1"/>
    <xf numFmtId="0" fontId="10" fillId="2" borderId="19" xfId="6"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24" xfId="0" applyFont="1" applyFill="1" applyBorder="1" applyAlignment="1">
      <alignment horizontal="center" vertical="center" wrapText="1"/>
    </xf>
    <xf numFmtId="164" fontId="0" fillId="0" borderId="21" xfId="0" applyNumberFormat="1" applyFont="1" applyBorder="1"/>
    <xf numFmtId="164" fontId="0" fillId="0" borderId="22" xfId="0" applyNumberFormat="1" applyFont="1" applyBorder="1"/>
    <xf numFmtId="164" fontId="10" fillId="0" borderId="27" xfId="0" applyNumberFormat="1" applyFont="1" applyBorder="1"/>
    <xf numFmtId="165" fontId="10" fillId="0" borderId="27" xfId="0" applyNumberFormat="1" applyFont="1" applyBorder="1"/>
    <xf numFmtId="0" fontId="10" fillId="2" borderId="19" xfId="0" applyFont="1" applyFill="1" applyBorder="1" applyAlignment="1">
      <alignment horizontal="center" vertical="center" wrapText="1"/>
    </xf>
    <xf numFmtId="10" fontId="0" fillId="0" borderId="2" xfId="0" applyNumberFormat="1" applyFont="1" applyBorder="1"/>
    <xf numFmtId="10" fontId="0" fillId="0" borderId="25" xfId="0" applyNumberFormat="1" applyFont="1" applyBorder="1"/>
    <xf numFmtId="10" fontId="0" fillId="0" borderId="23" xfId="0" applyNumberFormat="1" applyFont="1" applyBorder="1"/>
    <xf numFmtId="10" fontId="0" fillId="0" borderId="26" xfId="0" applyNumberFormat="1" applyFont="1" applyBorder="1"/>
    <xf numFmtId="10" fontId="10" fillId="0" borderId="0" xfId="0" applyNumberFormat="1" applyFont="1"/>
    <xf numFmtId="0" fontId="0" fillId="31" borderId="0" xfId="0" applyFill="1"/>
    <xf numFmtId="0" fontId="10" fillId="31" borderId="0" xfId="0" applyFont="1" applyFill="1"/>
    <xf numFmtId="0" fontId="10" fillId="2" borderId="2" xfId="0" applyFont="1" applyFill="1" applyBorder="1" applyAlignment="1">
      <alignment horizontal="center" vertical="center" wrapText="1"/>
    </xf>
    <xf numFmtId="166" fontId="0" fillId="0" borderId="0" xfId="2" applyNumberFormat="1" applyFont="1" applyFill="1" applyBorder="1" applyAlignment="1">
      <alignment horizontal="center" vertical="center"/>
    </xf>
    <xf numFmtId="0" fontId="0" fillId="0" borderId="0" xfId="0" applyFill="1" applyBorder="1" applyAlignment="1">
      <alignment horizontal="center" vertical="center"/>
    </xf>
    <xf numFmtId="166" fontId="0" fillId="0" borderId="0" xfId="2" applyNumberFormat="1" applyFont="1" applyFill="1" applyBorder="1" applyAlignment="1">
      <alignment horizontal="center" vertical="center" wrapText="1"/>
    </xf>
    <xf numFmtId="0" fontId="42" fillId="0" borderId="0" xfId="0" applyFont="1" applyFill="1" applyBorder="1" applyAlignment="1">
      <alignment horizontal="left" vertical="center"/>
    </xf>
    <xf numFmtId="0" fontId="37" fillId="0" borderId="0" xfId="0" applyFont="1" applyFill="1" applyBorder="1" applyAlignment="1">
      <alignment horizontal="left" vertical="center"/>
    </xf>
    <xf numFmtId="49" fontId="42" fillId="0" borderId="0" xfId="0" applyNumberFormat="1" applyFont="1" applyFill="1" applyBorder="1" applyAlignment="1">
      <alignment horizontal="left" vertical="center"/>
    </xf>
    <xf numFmtId="49" fontId="52" fillId="0" borderId="0" xfId="0" applyNumberFormat="1" applyFont="1" applyFill="1" applyBorder="1" applyAlignment="1">
      <alignment horizontal="left" vertical="center"/>
    </xf>
    <xf numFmtId="0" fontId="0" fillId="0" borderId="0" xfId="0" applyFont="1" applyFill="1" applyBorder="1" applyAlignment="1">
      <alignment horizontal="center" vertical="center"/>
    </xf>
    <xf numFmtId="0" fontId="40" fillId="0" borderId="0" xfId="0" quotePrefix="1" applyFont="1" applyFill="1" applyBorder="1" applyAlignment="1">
      <alignment vertical="center" wrapText="1"/>
    </xf>
    <xf numFmtId="0" fontId="40" fillId="0" borderId="0"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0" fillId="0" borderId="0" xfId="0" applyFont="1" applyFill="1" applyBorder="1" applyAlignment="1">
      <alignment vertical="center"/>
    </xf>
    <xf numFmtId="3" fontId="0" fillId="0" borderId="0" xfId="0" applyNumberFormat="1" applyFont="1" applyFill="1" applyBorder="1" applyAlignment="1">
      <alignment vertical="center"/>
    </xf>
    <xf numFmtId="166" fontId="0" fillId="0" borderId="0" xfId="2" applyNumberFormat="1" applyFont="1" applyFill="1" applyBorder="1" applyAlignment="1">
      <alignment vertical="center"/>
    </xf>
    <xf numFmtId="164" fontId="0" fillId="0" borderId="0" xfId="0" applyNumberFormat="1" applyFont="1" applyFill="1" applyBorder="1" applyAlignment="1">
      <alignment vertical="center"/>
    </xf>
    <xf numFmtId="10" fontId="0" fillId="0" borderId="0" xfId="1" applyNumberFormat="1" applyFont="1" applyFill="1" applyBorder="1" applyAlignment="1">
      <alignment vertical="center"/>
    </xf>
    <xf numFmtId="166" fontId="38" fillId="0" borderId="0" xfId="2" applyNumberFormat="1" applyFont="1" applyFill="1" applyBorder="1" applyAlignment="1">
      <alignment vertical="center"/>
    </xf>
    <xf numFmtId="43" fontId="39" fillId="0" borderId="0" xfId="2" applyNumberFormat="1" applyFont="1" applyFill="1" applyBorder="1" applyAlignment="1">
      <alignment vertical="center"/>
    </xf>
    <xf numFmtId="9" fontId="0" fillId="0" borderId="0" xfId="0" applyNumberFormat="1" applyFont="1" applyFill="1" applyBorder="1" applyAlignment="1">
      <alignment horizontal="right" vertical="center"/>
    </xf>
    <xf numFmtId="0" fontId="9" fillId="0" borderId="0" xfId="0" applyFont="1" applyFill="1" applyBorder="1" applyAlignment="1">
      <alignment vertical="center"/>
    </xf>
    <xf numFmtId="0" fontId="0" fillId="0" borderId="0" xfId="0" applyFill="1" applyBorder="1" applyAlignment="1">
      <alignment vertical="center"/>
    </xf>
    <xf numFmtId="0" fontId="12" fillId="0" borderId="0" xfId="0" applyFont="1" applyFill="1" applyBorder="1" applyAlignment="1">
      <alignment vertical="center"/>
    </xf>
    <xf numFmtId="37" fontId="0" fillId="0" borderId="0" xfId="0" applyNumberFormat="1" applyFill="1" applyBorder="1" applyAlignment="1">
      <alignment vertical="center"/>
    </xf>
    <xf numFmtId="0" fontId="10" fillId="0" borderId="0" xfId="0" applyFont="1" applyFill="1" applyBorder="1" applyAlignment="1">
      <alignment vertical="center" wrapText="1"/>
    </xf>
    <xf numFmtId="0" fontId="0" fillId="0" borderId="2" xfId="0" applyFont="1" applyFill="1" applyBorder="1" applyAlignment="1">
      <alignment horizontal="center" vertical="center"/>
    </xf>
    <xf numFmtId="0" fontId="0" fillId="0" borderId="2" xfId="0" applyFont="1" applyFill="1" applyBorder="1" applyAlignment="1">
      <alignment vertical="center"/>
    </xf>
    <xf numFmtId="166" fontId="47" fillId="0" borderId="2" xfId="2" applyNumberFormat="1" applyFont="1" applyFill="1" applyBorder="1" applyAlignment="1">
      <alignment vertical="center"/>
    </xf>
    <xf numFmtId="3" fontId="10" fillId="0" borderId="2" xfId="0" applyNumberFormat="1" applyFont="1" applyFill="1" applyBorder="1" applyAlignment="1">
      <alignment vertical="center"/>
    </xf>
    <xf numFmtId="3" fontId="10" fillId="0" borderId="28" xfId="0" applyNumberFormat="1" applyFont="1" applyFill="1" applyBorder="1" applyAlignment="1">
      <alignment vertical="center"/>
    </xf>
    <xf numFmtId="3" fontId="0" fillId="0" borderId="0" xfId="0" applyNumberFormat="1" applyFont="1" applyBorder="1" applyAlignment="1">
      <alignment vertical="center"/>
    </xf>
    <xf numFmtId="164" fontId="0" fillId="0" borderId="2" xfId="0" applyNumberFormat="1" applyFont="1" applyBorder="1" applyAlignment="1">
      <alignment vertical="center"/>
    </xf>
    <xf numFmtId="3" fontId="0" fillId="0" borderId="2" xfId="0" applyNumberFormat="1" applyFont="1" applyBorder="1" applyAlignment="1">
      <alignment vertical="center"/>
    </xf>
    <xf numFmtId="3" fontId="0" fillId="0" borderId="2" xfId="2" applyNumberFormat="1" applyFont="1" applyFill="1" applyBorder="1" applyAlignment="1">
      <alignment vertical="center"/>
    </xf>
    <xf numFmtId="0" fontId="10" fillId="33" borderId="2" xfId="0" applyFont="1" applyFill="1" applyBorder="1" applyAlignment="1">
      <alignment horizontal="center" vertical="center" wrapText="1"/>
    </xf>
    <xf numFmtId="0" fontId="10" fillId="34" borderId="2" xfId="0" applyFont="1" applyFill="1" applyBorder="1" applyAlignment="1">
      <alignment horizontal="center" vertical="center" wrapText="1"/>
    </xf>
    <xf numFmtId="0" fontId="52" fillId="34" borderId="2" xfId="0" applyFont="1" applyFill="1" applyBorder="1" applyAlignment="1">
      <alignment horizontal="center" vertical="center" wrapText="1"/>
    </xf>
    <xf numFmtId="0" fontId="10" fillId="0" borderId="0" xfId="0" applyFont="1" applyFill="1" applyBorder="1" applyAlignment="1">
      <alignment horizontal="center" vertical="center" wrapText="1"/>
    </xf>
    <xf numFmtId="164" fontId="10" fillId="0" borderId="28" xfId="0" applyNumberFormat="1" applyFont="1" applyBorder="1" applyAlignment="1">
      <alignment vertical="center"/>
    </xf>
    <xf numFmtId="0" fontId="52" fillId="32" borderId="2" xfId="0" applyFont="1" applyFill="1" applyBorder="1" applyAlignment="1">
      <alignment horizontal="center" vertical="center" wrapText="1"/>
    </xf>
    <xf numFmtId="166" fontId="48" fillId="0" borderId="0" xfId="2" applyNumberFormat="1" applyFont="1" applyFill="1" applyBorder="1" applyAlignment="1">
      <alignment horizontal="center" vertical="center" wrapText="1"/>
    </xf>
    <xf numFmtId="0" fontId="48" fillId="0" borderId="0" xfId="0" applyFont="1" applyFill="1" applyBorder="1" applyAlignment="1">
      <alignment horizontal="center" vertical="center"/>
    </xf>
    <xf numFmtId="0" fontId="38" fillId="0" borderId="0" xfId="0" applyFont="1" applyFill="1" applyBorder="1" applyAlignment="1">
      <alignment vertical="center"/>
    </xf>
    <xf numFmtId="0" fontId="57" fillId="0" borderId="0" xfId="0" applyFont="1" applyFill="1" applyBorder="1" applyAlignment="1">
      <alignment vertical="center"/>
    </xf>
    <xf numFmtId="0" fontId="9" fillId="0" borderId="0" xfId="0" applyFont="1" applyFill="1" applyBorder="1" applyAlignment="1">
      <alignment horizontal="right" vertical="center"/>
    </xf>
    <xf numFmtId="166" fontId="39" fillId="0" borderId="0" xfId="2" applyNumberFormat="1" applyFont="1" applyFill="1" applyBorder="1" applyAlignment="1">
      <alignment vertical="center"/>
    </xf>
    <xf numFmtId="4" fontId="0" fillId="0" borderId="2" xfId="0" applyNumberFormat="1" applyFont="1" applyFill="1" applyBorder="1" applyAlignment="1">
      <alignment vertical="center"/>
    </xf>
    <xf numFmtId="164" fontId="10" fillId="0" borderId="18" xfId="0" applyNumberFormat="1" applyFont="1" applyBorder="1" applyAlignment="1">
      <alignment vertical="center"/>
    </xf>
    <xf numFmtId="165" fontId="0" fillId="0" borderId="2" xfId="1" applyNumberFormat="1" applyFont="1" applyFill="1" applyBorder="1" applyAlignment="1">
      <alignment vertical="center"/>
    </xf>
    <xf numFmtId="0" fontId="52" fillId="33" borderId="2" xfId="0" applyFont="1" applyFill="1" applyBorder="1" applyAlignment="1">
      <alignment horizontal="center" vertical="center" wrapText="1"/>
    </xf>
    <xf numFmtId="164" fontId="10" fillId="0" borderId="2" xfId="0" applyNumberFormat="1" applyFont="1" applyBorder="1" applyAlignment="1">
      <alignment vertical="center"/>
    </xf>
    <xf numFmtId="3" fontId="10" fillId="0" borderId="2" xfId="2" applyNumberFormat="1" applyFont="1" applyFill="1" applyBorder="1" applyAlignment="1">
      <alignment vertical="center"/>
    </xf>
    <xf numFmtId="10" fontId="0" fillId="0" borderId="2" xfId="0" applyNumberFormat="1" applyFont="1" applyFill="1" applyBorder="1" applyAlignment="1">
      <alignment vertical="center"/>
    </xf>
    <xf numFmtId="10" fontId="0" fillId="0" borderId="2" xfId="1" applyNumberFormat="1" applyFont="1" applyFill="1" applyBorder="1" applyAlignment="1">
      <alignment vertical="center"/>
    </xf>
    <xf numFmtId="10" fontId="10" fillId="0" borderId="28" xfId="0" applyNumberFormat="1" applyFont="1" applyFill="1" applyBorder="1" applyAlignment="1">
      <alignment horizontal="right" vertical="center"/>
    </xf>
    <xf numFmtId="166" fontId="50" fillId="35" borderId="2" xfId="2" applyNumberFormat="1" applyFont="1" applyFill="1" applyBorder="1" applyAlignment="1">
      <alignment horizontal="center" vertical="center" wrapText="1"/>
    </xf>
    <xf numFmtId="0" fontId="45" fillId="37" borderId="2" xfId="0" applyFont="1" applyFill="1" applyBorder="1" applyAlignment="1">
      <alignment horizontal="center" vertical="center" wrapText="1"/>
    </xf>
    <xf numFmtId="0" fontId="58" fillId="37" borderId="2" xfId="0" applyFont="1" applyFill="1" applyBorder="1" applyAlignment="1">
      <alignment horizontal="center" vertical="center" wrapText="1"/>
    </xf>
    <xf numFmtId="0" fontId="50" fillId="38" borderId="2" xfId="0" applyFont="1" applyFill="1" applyBorder="1" applyAlignment="1">
      <alignment horizontal="center" vertical="center" wrapText="1"/>
    </xf>
    <xf numFmtId="0" fontId="10" fillId="0" borderId="0" xfId="0" applyFont="1" applyFill="1" applyBorder="1" applyAlignment="1">
      <alignment horizontal="right" vertical="center"/>
    </xf>
    <xf numFmtId="164" fontId="10" fillId="0" borderId="17" xfId="0" applyNumberFormat="1" applyFont="1" applyBorder="1" applyAlignment="1">
      <alignment vertical="center"/>
    </xf>
    <xf numFmtId="168" fontId="10" fillId="0" borderId="0" xfId="2" applyNumberFormat="1" applyFont="1" applyBorder="1" applyAlignment="1">
      <alignment vertical="center"/>
    </xf>
    <xf numFmtId="168" fontId="8" fillId="0" borderId="0" xfId="2" applyNumberFormat="1" applyFont="1" applyBorder="1" applyAlignment="1">
      <alignment vertical="center"/>
    </xf>
    <xf numFmtId="0" fontId="8" fillId="0" borderId="0" xfId="0" applyFont="1" applyBorder="1" applyAlignment="1">
      <alignment vertical="center"/>
    </xf>
    <xf numFmtId="168" fontId="45" fillId="0" borderId="0" xfId="2" applyNumberFormat="1" applyFont="1" applyBorder="1" applyAlignment="1">
      <alignment horizontal="left" vertical="center" wrapText="1"/>
    </xf>
    <xf numFmtId="168" fontId="10" fillId="0" borderId="0" xfId="2" applyNumberFormat="1" applyFont="1" applyFill="1" applyBorder="1" applyAlignment="1">
      <alignment vertical="center" wrapText="1"/>
    </xf>
    <xf numFmtId="166" fontId="8" fillId="0" borderId="0" xfId="2" applyNumberFormat="1" applyFont="1" applyBorder="1" applyAlignment="1">
      <alignment vertical="center"/>
    </xf>
    <xf numFmtId="166" fontId="8" fillId="0" borderId="0" xfId="2" applyNumberFormat="1" applyFont="1" applyFill="1" applyBorder="1" applyAlignment="1">
      <alignment vertical="center"/>
    </xf>
    <xf numFmtId="168" fontId="8" fillId="0" borderId="0" xfId="2" applyNumberFormat="1" applyFont="1" applyBorder="1" applyAlignment="1">
      <alignment vertical="center" wrapText="1"/>
    </xf>
    <xf numFmtId="168" fontId="9" fillId="0" borderId="0" xfId="2" applyNumberFormat="1" applyFont="1" applyBorder="1" applyAlignment="1">
      <alignment vertical="center"/>
    </xf>
    <xf numFmtId="0" fontId="8" fillId="0" borderId="0" xfId="0" applyFont="1" applyBorder="1" applyAlignment="1">
      <alignment vertical="center" wrapText="1"/>
    </xf>
    <xf numFmtId="168" fontId="10" fillId="0" borderId="0" xfId="2" applyNumberFormat="1" applyFont="1" applyFill="1" applyBorder="1" applyAlignment="1">
      <alignment vertical="center"/>
    </xf>
    <xf numFmtId="166" fontId="10" fillId="0" borderId="0" xfId="2" applyNumberFormat="1" applyFont="1" applyBorder="1" applyAlignment="1">
      <alignment vertical="center"/>
    </xf>
    <xf numFmtId="0" fontId="10" fillId="0" borderId="0" xfId="0" applyFont="1" applyBorder="1" applyAlignment="1">
      <alignment vertical="center"/>
    </xf>
    <xf numFmtId="168" fontId="10" fillId="0" borderId="0" xfId="2" applyNumberFormat="1" applyFont="1" applyBorder="1" applyAlignment="1">
      <alignment horizontal="right" vertical="center"/>
    </xf>
    <xf numFmtId="168" fontId="8" fillId="0" borderId="2" xfId="2" applyNumberFormat="1" applyFont="1" applyBorder="1" applyAlignment="1">
      <alignment vertical="center"/>
    </xf>
    <xf numFmtId="168" fontId="10" fillId="2" borderId="2" xfId="2" applyNumberFormat="1" applyFont="1" applyFill="1" applyBorder="1" applyAlignment="1">
      <alignment horizontal="center" vertical="center" wrapText="1"/>
    </xf>
    <xf numFmtId="168" fontId="39" fillId="0" borderId="2" xfId="2" applyNumberFormat="1" applyFont="1" applyBorder="1" applyAlignment="1">
      <alignment vertical="center"/>
    </xf>
    <xf numFmtId="168" fontId="45" fillId="0" borderId="2" xfId="2" applyNumberFormat="1" applyFont="1" applyBorder="1" applyAlignment="1">
      <alignment vertical="center"/>
    </xf>
    <xf numFmtId="37" fontId="45" fillId="0" borderId="2" xfId="2" applyNumberFormat="1" applyFont="1" applyBorder="1" applyAlignment="1">
      <alignment vertical="center"/>
    </xf>
    <xf numFmtId="168" fontId="10" fillId="0" borderId="28" xfId="2" applyNumberFormat="1" applyFont="1" applyBorder="1" applyAlignment="1">
      <alignment vertical="center"/>
    </xf>
    <xf numFmtId="168" fontId="10" fillId="27" borderId="28" xfId="2" applyNumberFormat="1" applyFont="1" applyFill="1" applyBorder="1" applyAlignment="1">
      <alignment vertical="center"/>
    </xf>
    <xf numFmtId="37" fontId="10" fillId="0" borderId="28" xfId="2" applyNumberFormat="1" applyFont="1" applyBorder="1" applyAlignment="1">
      <alignment vertical="center"/>
    </xf>
    <xf numFmtId="37" fontId="45" fillId="0" borderId="2" xfId="0" applyNumberFormat="1" applyFont="1" applyBorder="1" applyAlignment="1">
      <alignment vertical="center"/>
    </xf>
    <xf numFmtId="166" fontId="10" fillId="0" borderId="28" xfId="2" applyNumberFormat="1" applyFont="1" applyBorder="1" applyAlignment="1">
      <alignment vertical="center"/>
    </xf>
    <xf numFmtId="166" fontId="45" fillId="0" borderId="2" xfId="2" applyNumberFormat="1" applyFont="1" applyBorder="1" applyAlignment="1">
      <alignment vertical="center"/>
    </xf>
    <xf numFmtId="0" fontId="8" fillId="0" borderId="0" xfId="294" applyFont="1" applyAlignment="1">
      <alignment vertical="center"/>
    </xf>
    <xf numFmtId="0" fontId="8" fillId="0" borderId="0" xfId="294" applyFont="1" applyFill="1" applyAlignment="1">
      <alignment vertical="center"/>
    </xf>
    <xf numFmtId="0" fontId="10" fillId="2" borderId="2" xfId="294" applyFont="1" applyFill="1" applyBorder="1" applyAlignment="1">
      <alignment horizontal="center" vertical="center" wrapText="1"/>
    </xf>
    <xf numFmtId="0" fontId="8" fillId="0" borderId="2" xfId="294" applyFont="1" applyBorder="1" applyAlignment="1">
      <alignment vertical="center"/>
    </xf>
    <xf numFmtId="166" fontId="8" fillId="0" borderId="2" xfId="0" applyNumberFormat="1" applyFont="1" applyBorder="1" applyAlignment="1">
      <alignment vertical="center"/>
    </xf>
    <xf numFmtId="166" fontId="8" fillId="0" borderId="0" xfId="295" applyNumberFormat="1" applyFont="1" applyAlignment="1">
      <alignment vertical="center"/>
    </xf>
    <xf numFmtId="0" fontId="8" fillId="0" borderId="0" xfId="294" applyFont="1" applyBorder="1" applyAlignment="1">
      <alignment vertical="center"/>
    </xf>
    <xf numFmtId="166" fontId="8" fillId="0" borderId="0" xfId="295" applyNumberFormat="1" applyFont="1" applyBorder="1" applyAlignment="1">
      <alignment vertical="center"/>
    </xf>
    <xf numFmtId="166" fontId="10" fillId="0" borderId="0" xfId="295" applyNumberFormat="1" applyFont="1" applyBorder="1" applyAlignment="1">
      <alignment vertical="center"/>
    </xf>
    <xf numFmtId="166" fontId="8" fillId="0" borderId="0" xfId="2" applyNumberFormat="1" applyFont="1" applyAlignment="1">
      <alignment vertical="center"/>
    </xf>
    <xf numFmtId="166" fontId="8" fillId="0" borderId="0" xfId="294" applyNumberFormat="1" applyFont="1" applyAlignment="1">
      <alignment vertical="center"/>
    </xf>
    <xf numFmtId="165" fontId="8" fillId="0" borderId="0" xfId="1" applyNumberFormat="1" applyFont="1" applyAlignment="1">
      <alignment vertical="center"/>
    </xf>
    <xf numFmtId="0" fontId="10" fillId="0" borderId="0" xfId="294" applyFont="1" applyBorder="1" applyAlignment="1">
      <alignment horizontal="center" vertical="center"/>
    </xf>
    <xf numFmtId="0" fontId="55" fillId="0" borderId="0" xfId="294" applyFont="1" applyAlignment="1">
      <alignment vertical="center"/>
    </xf>
    <xf numFmtId="168" fontId="10" fillId="0" borderId="0" xfId="2" applyNumberFormat="1" applyFont="1" applyFill="1" applyAlignment="1">
      <alignment horizontal="left" vertical="center"/>
    </xf>
    <xf numFmtId="0" fontId="42" fillId="0" borderId="0" xfId="294" applyFont="1" applyAlignment="1">
      <alignment vertical="center"/>
    </xf>
    <xf numFmtId="5" fontId="8" fillId="0" borderId="2" xfId="0" applyNumberFormat="1" applyFont="1" applyBorder="1" applyAlignment="1">
      <alignment vertical="center"/>
    </xf>
    <xf numFmtId="5" fontId="8" fillId="0" borderId="2" xfId="295" applyNumberFormat="1" applyFont="1" applyBorder="1" applyAlignment="1">
      <alignment vertical="center"/>
    </xf>
    <xf numFmtId="0" fontId="10" fillId="0" borderId="0" xfId="294" applyFont="1" applyBorder="1" applyAlignment="1">
      <alignment horizontal="right" vertical="center"/>
    </xf>
    <xf numFmtId="5" fontId="10" fillId="0" borderId="28" xfId="295" applyNumberFormat="1" applyFont="1" applyBorder="1" applyAlignment="1">
      <alignment vertical="center"/>
    </xf>
    <xf numFmtId="166" fontId="10" fillId="0" borderId="28" xfId="295" applyNumberFormat="1" applyFont="1" applyBorder="1" applyAlignment="1">
      <alignment vertical="center"/>
    </xf>
    <xf numFmtId="0" fontId="52" fillId="2" borderId="2" xfId="294" applyFont="1" applyFill="1" applyBorder="1" applyAlignment="1">
      <alignment horizontal="center" vertical="center" wrapText="1"/>
    </xf>
    <xf numFmtId="9" fontId="39" fillId="0" borderId="2" xfId="0" applyNumberFormat="1" applyFont="1" applyFill="1" applyBorder="1"/>
    <xf numFmtId="0" fontId="39" fillId="0" borderId="2" xfId="0" applyFont="1" applyFill="1" applyBorder="1" applyAlignment="1">
      <alignment horizontal="center"/>
    </xf>
    <xf numFmtId="0" fontId="39" fillId="0" borderId="0" xfId="22" applyFont="1" applyBorder="1"/>
    <xf numFmtId="0" fontId="39" fillId="0" borderId="0" xfId="22" applyFont="1" applyFill="1" applyAlignment="1">
      <alignment horizontal="center"/>
    </xf>
    <xf numFmtId="0" fontId="45" fillId="0" borderId="0" xfId="22" applyFont="1"/>
    <xf numFmtId="0" fontId="38" fillId="0" borderId="0" xfId="22" applyFont="1" applyAlignment="1">
      <alignment horizontal="center"/>
    </xf>
    <xf numFmtId="2" fontId="39" fillId="0" borderId="0" xfId="22" applyNumberFormat="1" applyFont="1" applyFill="1" applyAlignment="1">
      <alignment horizontal="center"/>
    </xf>
    <xf numFmtId="0" fontId="62" fillId="0" borderId="0" xfId="22" applyFont="1"/>
    <xf numFmtId="49" fontId="58" fillId="0" borderId="0" xfId="22" applyNumberFormat="1" applyFont="1"/>
    <xf numFmtId="0" fontId="52" fillId="2" borderId="2" xfId="22" applyFont="1" applyFill="1" applyBorder="1" applyAlignment="1">
      <alignment horizontal="center" vertical="center" wrapText="1"/>
    </xf>
    <xf numFmtId="5" fontId="10" fillId="0" borderId="5" xfId="295" applyNumberFormat="1" applyFont="1" applyBorder="1" applyAlignment="1">
      <alignment vertical="center"/>
    </xf>
    <xf numFmtId="43" fontId="8" fillId="0" borderId="2" xfId="2" applyFont="1" applyBorder="1" applyAlignment="1">
      <alignment vertical="center"/>
    </xf>
    <xf numFmtId="49" fontId="52" fillId="0" borderId="0" xfId="2" applyNumberFormat="1" applyFont="1" applyFill="1" applyAlignment="1">
      <alignment horizontal="left" vertical="center"/>
    </xf>
    <xf numFmtId="167" fontId="38" fillId="0" borderId="0" xfId="3" applyNumberFormat="1" applyFont="1" applyFill="1" applyBorder="1" applyAlignment="1">
      <alignment vertical="center"/>
    </xf>
    <xf numFmtId="0" fontId="0" fillId="0" borderId="0" xfId="0" applyFont="1" applyAlignment="1">
      <alignment vertical="center"/>
    </xf>
    <xf numFmtId="0" fontId="0" fillId="0" borderId="2" xfId="0" applyFont="1" applyBorder="1" applyAlignment="1">
      <alignment horizontal="left" vertical="center"/>
    </xf>
    <xf numFmtId="43" fontId="0" fillId="0" borderId="2" xfId="0" applyNumberFormat="1" applyFont="1" applyBorder="1" applyAlignment="1">
      <alignment vertical="center"/>
    </xf>
    <xf numFmtId="165" fontId="0" fillId="0" borderId="2" xfId="0" applyNumberFormat="1" applyFont="1" applyBorder="1" applyAlignment="1">
      <alignment vertical="center"/>
    </xf>
    <xf numFmtId="5" fontId="0" fillId="0" borderId="2" xfId="0" applyNumberFormat="1" applyFont="1" applyBorder="1" applyAlignment="1">
      <alignment vertical="center"/>
    </xf>
    <xf numFmtId="0" fontId="10" fillId="0" borderId="0" xfId="0" applyFont="1" applyAlignment="1">
      <alignment horizontal="right" vertical="center"/>
    </xf>
    <xf numFmtId="164" fontId="10" fillId="0" borderId="0" xfId="0" applyNumberFormat="1" applyFont="1" applyAlignment="1">
      <alignment vertical="center"/>
    </xf>
    <xf numFmtId="0" fontId="10" fillId="0" borderId="0" xfId="0" applyFont="1" applyAlignment="1">
      <alignment vertical="center"/>
    </xf>
    <xf numFmtId="10" fontId="0" fillId="0" borderId="0" xfId="1" applyNumberFormat="1" applyFont="1" applyAlignment="1">
      <alignment vertical="center"/>
    </xf>
    <xf numFmtId="43" fontId="0" fillId="0" borderId="0" xfId="2" applyFont="1" applyAlignment="1">
      <alignment vertical="center"/>
    </xf>
    <xf numFmtId="49" fontId="52" fillId="0" borderId="0" xfId="0" applyNumberFormat="1" applyFont="1" applyAlignment="1">
      <alignment vertical="center"/>
    </xf>
    <xf numFmtId="0" fontId="42" fillId="0" borderId="0" xfId="0" applyFont="1" applyAlignment="1">
      <alignment vertical="center"/>
    </xf>
    <xf numFmtId="5" fontId="10" fillId="0" borderId="2" xfId="0" applyNumberFormat="1" applyFont="1" applyBorder="1" applyAlignment="1">
      <alignment vertical="center"/>
    </xf>
    <xf numFmtId="4" fontId="10" fillId="0" borderId="28" xfId="0" applyNumberFormat="1" applyFont="1" applyBorder="1" applyAlignment="1">
      <alignment vertical="center"/>
    </xf>
    <xf numFmtId="165" fontId="10" fillId="0" borderId="28" xfId="0" applyNumberFormat="1" applyFont="1" applyBorder="1" applyAlignment="1">
      <alignment vertical="center"/>
    </xf>
    <xf numFmtId="166" fontId="51" fillId="0" borderId="0" xfId="2" applyNumberFormat="1" applyFont="1" applyFill="1" applyBorder="1" applyAlignment="1">
      <alignment vertical="center"/>
    </xf>
    <xf numFmtId="37" fontId="51" fillId="0" borderId="0" xfId="0" applyNumberFormat="1" applyFont="1" applyFill="1" applyBorder="1" applyAlignment="1">
      <alignment vertical="center"/>
    </xf>
    <xf numFmtId="0" fontId="0" fillId="0" borderId="0" xfId="0" applyFont="1" applyBorder="1" applyAlignment="1">
      <alignment vertical="center"/>
    </xf>
    <xf numFmtId="0" fontId="0" fillId="0" borderId="0" xfId="0" applyFont="1" applyBorder="1" applyAlignment="1">
      <alignment vertical="center" wrapText="1"/>
    </xf>
    <xf numFmtId="166" fontId="0" fillId="0" borderId="0" xfId="2" applyNumberFormat="1" applyFont="1" applyBorder="1" applyAlignment="1">
      <alignment vertical="center"/>
    </xf>
    <xf numFmtId="166" fontId="0" fillId="0" borderId="0" xfId="0" applyNumberFormat="1" applyFont="1" applyBorder="1" applyAlignment="1">
      <alignment vertical="center"/>
    </xf>
    <xf numFmtId="0" fontId="42" fillId="0" borderId="0" xfId="0" applyFont="1" applyBorder="1" applyAlignment="1">
      <alignment vertical="center"/>
    </xf>
    <xf numFmtId="49" fontId="10" fillId="0" borderId="0" xfId="0" applyNumberFormat="1" applyFont="1" applyBorder="1" applyAlignment="1">
      <alignment vertical="center"/>
    </xf>
    <xf numFmtId="49" fontId="52" fillId="0" borderId="0" xfId="0" applyNumberFormat="1" applyFont="1" applyBorder="1" applyAlignment="1">
      <alignment vertical="center"/>
    </xf>
    <xf numFmtId="0" fontId="0" fillId="0" borderId="0" xfId="0" applyFont="1" applyBorder="1" applyAlignment="1">
      <alignment horizontal="center" vertical="center"/>
    </xf>
    <xf numFmtId="166" fontId="64" fillId="32" borderId="0" xfId="2" applyNumberFormat="1" applyFont="1" applyFill="1" applyBorder="1" applyAlignment="1">
      <alignment horizontal="center" vertical="center" wrapText="1"/>
    </xf>
    <xf numFmtId="0" fontId="63" fillId="32" borderId="0" xfId="0" applyFont="1" applyFill="1" applyBorder="1" applyAlignment="1">
      <alignment vertical="center"/>
    </xf>
    <xf numFmtId="0" fontId="64" fillId="32" borderId="0" xfId="6" applyFont="1" applyFill="1" applyBorder="1" applyAlignment="1">
      <alignment horizontal="center" vertical="center" wrapText="1"/>
    </xf>
    <xf numFmtId="166" fontId="63" fillId="32" borderId="0" xfId="2" applyNumberFormat="1" applyFont="1" applyFill="1" applyBorder="1" applyAlignment="1">
      <alignment vertical="center"/>
    </xf>
    <xf numFmtId="10" fontId="63" fillId="32" borderId="0" xfId="1" applyNumberFormat="1" applyFont="1" applyFill="1" applyBorder="1" applyAlignment="1">
      <alignment vertical="center"/>
    </xf>
    <xf numFmtId="3" fontId="63" fillId="32" borderId="0" xfId="0" applyNumberFormat="1" applyFont="1" applyFill="1" applyBorder="1" applyAlignment="1">
      <alignment vertical="center"/>
    </xf>
    <xf numFmtId="166" fontId="64" fillId="32" borderId="0" xfId="2" applyNumberFormat="1" applyFont="1" applyFill="1" applyBorder="1" applyAlignment="1">
      <alignment vertical="center"/>
    </xf>
    <xf numFmtId="10" fontId="64" fillId="32" borderId="0" xfId="1" applyNumberFormat="1" applyFont="1" applyFill="1" applyBorder="1" applyAlignment="1">
      <alignment vertical="center"/>
    </xf>
    <xf numFmtId="166" fontId="38" fillId="0" borderId="0" xfId="0" applyNumberFormat="1" applyFont="1" applyFill="1" applyBorder="1" applyAlignment="1">
      <alignment vertical="center"/>
    </xf>
    <xf numFmtId="166" fontId="39" fillId="0" borderId="0" xfId="0" applyNumberFormat="1" applyFont="1" applyFill="1" applyBorder="1" applyAlignment="1">
      <alignment vertical="center"/>
    </xf>
    <xf numFmtId="166" fontId="0" fillId="0" borderId="2" xfId="292" applyNumberFormat="1" applyFont="1" applyBorder="1" applyAlignment="1">
      <alignment vertical="center"/>
    </xf>
    <xf numFmtId="10" fontId="10" fillId="0" borderId="28" xfId="1" applyNumberFormat="1" applyFont="1" applyBorder="1" applyAlignment="1">
      <alignment vertical="center"/>
    </xf>
    <xf numFmtId="0" fontId="55" fillId="0" borderId="0" xfId="0" applyFont="1" applyFill="1" applyBorder="1" applyAlignment="1">
      <alignment vertical="center"/>
    </xf>
    <xf numFmtId="166" fontId="0" fillId="0" borderId="2" xfId="2" applyNumberFormat="1" applyFont="1" applyFill="1" applyBorder="1" applyAlignment="1">
      <alignment horizontal="right" vertical="center"/>
    </xf>
    <xf numFmtId="166" fontId="10" fillId="0" borderId="2" xfId="2" applyNumberFormat="1" applyFont="1" applyFill="1" applyBorder="1" applyAlignment="1">
      <alignment horizontal="right" vertical="center"/>
    </xf>
    <xf numFmtId="5" fontId="0" fillId="0" borderId="2" xfId="292" applyNumberFormat="1" applyFont="1" applyBorder="1" applyAlignment="1">
      <alignment vertical="center"/>
    </xf>
    <xf numFmtId="5" fontId="0" fillId="0" borderId="2" xfId="2" applyNumberFormat="1" applyFont="1" applyFill="1" applyBorder="1" applyAlignment="1">
      <alignment vertical="center"/>
    </xf>
    <xf numFmtId="5" fontId="10" fillId="0" borderId="28" xfId="292" applyNumberFormat="1" applyFont="1" applyBorder="1" applyAlignment="1">
      <alignment vertical="center"/>
    </xf>
    <xf numFmtId="5" fontId="10" fillId="0" borderId="28" xfId="2" applyNumberFormat="1" applyFont="1" applyBorder="1" applyAlignment="1">
      <alignment vertical="center"/>
    </xf>
    <xf numFmtId="0" fontId="9" fillId="0" borderId="0" xfId="0" applyFont="1" applyFill="1" applyAlignment="1">
      <alignment vertical="center"/>
    </xf>
    <xf numFmtId="0" fontId="0" fillId="0" borderId="0" xfId="0" applyFont="1" applyFill="1" applyAlignment="1">
      <alignment vertical="center"/>
    </xf>
    <xf numFmtId="164" fontId="0" fillId="0" borderId="2" xfId="0" applyNumberFormat="1" applyFont="1" applyFill="1" applyBorder="1" applyAlignment="1">
      <alignment horizontal="center" vertical="center"/>
    </xf>
    <xf numFmtId="2" fontId="0" fillId="0" borderId="0" xfId="0" applyNumberFormat="1" applyFont="1" applyBorder="1" applyAlignment="1">
      <alignment vertical="center"/>
    </xf>
    <xf numFmtId="1" fontId="10" fillId="0" borderId="0" xfId="0" applyNumberFormat="1" applyFont="1" applyFill="1" applyBorder="1" applyAlignment="1">
      <alignment horizontal="center" vertical="center"/>
    </xf>
    <xf numFmtId="0" fontId="42" fillId="0" borderId="0" xfId="0" applyFont="1" applyBorder="1" applyAlignment="1">
      <alignment horizontal="left" vertical="center"/>
    </xf>
    <xf numFmtId="2" fontId="0" fillId="0" borderId="2" xfId="0" applyNumberFormat="1" applyFont="1" applyBorder="1" applyAlignment="1">
      <alignment vertical="center"/>
    </xf>
    <xf numFmtId="0" fontId="10" fillId="0" borderId="0" xfId="0" applyNumberFormat="1" applyFont="1" applyFill="1" applyBorder="1" applyAlignment="1">
      <alignment horizontal="right" vertical="center"/>
    </xf>
    <xf numFmtId="2" fontId="10" fillId="0" borderId="28" xfId="0" applyNumberFormat="1" applyFont="1" applyFill="1" applyBorder="1" applyAlignment="1">
      <alignment vertical="center"/>
    </xf>
    <xf numFmtId="164" fontId="10" fillId="0" borderId="28" xfId="0" applyNumberFormat="1" applyFont="1" applyFill="1" applyBorder="1" applyAlignment="1">
      <alignment vertical="center"/>
    </xf>
    <xf numFmtId="1" fontId="0" fillId="0" borderId="2" xfId="2" applyNumberFormat="1" applyFont="1" applyBorder="1" applyAlignment="1">
      <alignment horizontal="center" vertical="center"/>
    </xf>
    <xf numFmtId="2" fontId="10" fillId="40" borderId="2" xfId="0" applyNumberFormat="1" applyFont="1" applyFill="1" applyBorder="1" applyAlignment="1">
      <alignment horizontal="center" vertical="center" wrapText="1"/>
    </xf>
    <xf numFmtId="3" fontId="10" fillId="40" borderId="2" xfId="0" applyNumberFormat="1" applyFont="1" applyFill="1" applyBorder="1" applyAlignment="1">
      <alignment horizontal="center" vertical="center" wrapText="1"/>
    </xf>
    <xf numFmtId="43" fontId="10" fillId="2" borderId="2" xfId="0" applyNumberFormat="1" applyFont="1" applyFill="1" applyBorder="1" applyAlignment="1">
      <alignment horizontal="center" vertical="center" wrapText="1"/>
    </xf>
    <xf numFmtId="0" fontId="10" fillId="40" borderId="2" xfId="0" applyFont="1" applyFill="1" applyBorder="1" applyAlignment="1">
      <alignment horizontal="center" vertical="center" wrapText="1"/>
    </xf>
    <xf numFmtId="0" fontId="8" fillId="0" borderId="0" xfId="299" applyFont="1" applyAlignment="1">
      <alignment vertical="center"/>
    </xf>
    <xf numFmtId="0" fontId="66" fillId="0" borderId="0" xfId="299" applyFont="1" applyAlignment="1">
      <alignment vertical="center"/>
    </xf>
    <xf numFmtId="0" fontId="10" fillId="0" borderId="0" xfId="299" applyFont="1" applyBorder="1" applyAlignment="1">
      <alignment horizontal="left" vertical="center"/>
    </xf>
    <xf numFmtId="0" fontId="10" fillId="2" borderId="2" xfId="299" applyFont="1" applyFill="1" applyBorder="1" applyAlignment="1">
      <alignment horizontal="center" vertical="center" wrapText="1"/>
    </xf>
    <xf numFmtId="167" fontId="8" fillId="0" borderId="2" xfId="299" applyNumberFormat="1" applyFont="1" applyBorder="1" applyAlignment="1">
      <alignment vertical="center"/>
    </xf>
    <xf numFmtId="166" fontId="66" fillId="0" borderId="0" xfId="2" applyNumberFormat="1" applyFont="1" applyAlignment="1">
      <alignment vertical="center"/>
    </xf>
    <xf numFmtId="43" fontId="8" fillId="0" borderId="0" xfId="299" applyNumberFormat="1" applyFont="1" applyAlignment="1">
      <alignment vertical="center"/>
    </xf>
    <xf numFmtId="166" fontId="8" fillId="0" borderId="0" xfId="299" applyNumberFormat="1" applyFont="1" applyAlignment="1">
      <alignment vertical="center"/>
    </xf>
    <xf numFmtId="166" fontId="66" fillId="0" borderId="0" xfId="299" applyNumberFormat="1" applyFont="1" applyAlignment="1">
      <alignment vertical="center"/>
    </xf>
    <xf numFmtId="0" fontId="10" fillId="0" borderId="0" xfId="299" applyFont="1" applyFill="1" applyBorder="1" applyAlignment="1">
      <alignment horizontal="center" vertical="center" wrapText="1"/>
    </xf>
    <xf numFmtId="0" fontId="8" fillId="0" borderId="0" xfId="299" applyFont="1" applyFill="1" applyBorder="1" applyAlignment="1">
      <alignment vertical="center"/>
    </xf>
    <xf numFmtId="167" fontId="8" fillId="0" borderId="0" xfId="299" applyNumberFormat="1" applyFont="1" applyFill="1" applyBorder="1" applyAlignment="1">
      <alignment vertical="center"/>
    </xf>
    <xf numFmtId="0" fontId="55" fillId="0" borderId="0" xfId="299" applyFont="1" applyAlignment="1">
      <alignment vertical="center"/>
    </xf>
    <xf numFmtId="49" fontId="42" fillId="0" borderId="0" xfId="2" applyNumberFormat="1" applyFont="1" applyFill="1" applyAlignment="1">
      <alignment horizontal="left" vertical="center"/>
    </xf>
    <xf numFmtId="37" fontId="8" fillId="0" borderId="2" xfId="2" applyNumberFormat="1" applyFont="1" applyBorder="1" applyAlignment="1">
      <alignment horizontal="center" vertical="center"/>
    </xf>
    <xf numFmtId="166" fontId="10" fillId="0" borderId="2" xfId="2" applyNumberFormat="1" applyFont="1" applyBorder="1" applyAlignment="1">
      <alignment vertical="center"/>
    </xf>
    <xf numFmtId="168" fontId="10" fillId="0" borderId="0" xfId="2" applyNumberFormat="1" applyFont="1" applyFill="1" applyAlignment="1">
      <alignment horizontal="center" vertical="center"/>
    </xf>
    <xf numFmtId="0" fontId="10" fillId="0" borderId="0" xfId="299" applyFont="1" applyBorder="1" applyAlignment="1">
      <alignment horizontal="center" vertical="center"/>
    </xf>
    <xf numFmtId="0" fontId="8" fillId="0" borderId="2" xfId="299" applyFont="1" applyBorder="1" applyAlignment="1">
      <alignment horizontal="center" vertical="center"/>
    </xf>
    <xf numFmtId="0" fontId="8" fillId="0" borderId="0" xfId="299" applyFont="1" applyAlignment="1">
      <alignment horizontal="center" vertical="center"/>
    </xf>
    <xf numFmtId="0" fontId="10" fillId="0" borderId="0" xfId="299" applyFont="1" applyAlignment="1">
      <alignment vertical="center"/>
    </xf>
    <xf numFmtId="0" fontId="10" fillId="0" borderId="0" xfId="299" applyFont="1" applyAlignment="1">
      <alignment horizontal="right" vertical="center"/>
    </xf>
    <xf numFmtId="0" fontId="52" fillId="2" borderId="2" xfId="299" applyFont="1" applyFill="1" applyBorder="1" applyAlignment="1">
      <alignment horizontal="center" vertical="center" wrapText="1"/>
    </xf>
    <xf numFmtId="37" fontId="10" fillId="0" borderId="2" xfId="299" applyNumberFormat="1" applyFont="1" applyBorder="1" applyAlignment="1">
      <alignment vertical="center"/>
    </xf>
    <xf numFmtId="164" fontId="8" fillId="0" borderId="2" xfId="2" applyNumberFormat="1" applyFont="1" applyFill="1" applyBorder="1" applyAlignment="1">
      <alignment vertical="center"/>
    </xf>
    <xf numFmtId="164" fontId="10" fillId="0" borderId="2" xfId="2" applyNumberFormat="1" applyFont="1" applyFill="1" applyBorder="1" applyAlignment="1">
      <alignment vertical="center"/>
    </xf>
    <xf numFmtId="0" fontId="50" fillId="0" borderId="0" xfId="299" applyFont="1" applyFill="1" applyBorder="1" applyAlignment="1">
      <alignment horizontal="center" vertical="center" wrapText="1"/>
    </xf>
    <xf numFmtId="0" fontId="0" fillId="34" borderId="2" xfId="0" applyFont="1" applyFill="1" applyBorder="1" applyAlignment="1">
      <alignment horizontal="center" vertical="center" wrapText="1"/>
    </xf>
    <xf numFmtId="0" fontId="39" fillId="41" borderId="2" xfId="0" applyFont="1" applyFill="1" applyBorder="1" applyAlignment="1">
      <alignment horizontal="center"/>
    </xf>
    <xf numFmtId="166" fontId="10" fillId="0" borderId="5" xfId="0" applyNumberFormat="1" applyFont="1" applyBorder="1" applyAlignment="1">
      <alignment vertical="center"/>
    </xf>
    <xf numFmtId="1" fontId="0" fillId="0" borderId="0" xfId="0" applyNumberFormat="1" applyFont="1" applyBorder="1" applyAlignment="1">
      <alignment vertical="center"/>
    </xf>
    <xf numFmtId="43" fontId="0" fillId="0" borderId="2" xfId="2" applyFont="1" applyBorder="1"/>
    <xf numFmtId="0" fontId="10" fillId="2" borderId="2" xfId="0" applyFont="1" applyFill="1" applyBorder="1" applyAlignment="1">
      <alignment horizontal="center" vertical="center" wrapText="1"/>
    </xf>
    <xf numFmtId="0" fontId="10" fillId="2" borderId="2" xfId="0" applyFont="1" applyFill="1" applyBorder="1" applyAlignment="1">
      <alignment horizontal="center" vertical="center"/>
    </xf>
    <xf numFmtId="164" fontId="0" fillId="0" borderId="0" xfId="0" applyNumberFormat="1" applyFont="1" applyBorder="1" applyAlignment="1">
      <alignment vertical="center"/>
    </xf>
    <xf numFmtId="168" fontId="61" fillId="0" borderId="0" xfId="2" applyNumberFormat="1" applyFont="1" applyBorder="1" applyAlignment="1">
      <alignment horizontal="center" vertical="center" wrapText="1"/>
    </xf>
    <xf numFmtId="168" fontId="67" fillId="0" borderId="0" xfId="2" applyNumberFormat="1" applyFont="1" applyBorder="1" applyAlignment="1">
      <alignment vertical="center" wrapText="1"/>
    </xf>
    <xf numFmtId="0" fontId="51" fillId="0" borderId="0" xfId="22" applyFont="1"/>
    <xf numFmtId="0" fontId="9" fillId="0" borderId="0" xfId="0" applyFont="1" applyFill="1" applyBorder="1" applyAlignment="1">
      <alignment horizontal="left" vertical="center"/>
    </xf>
    <xf numFmtId="168" fontId="51" fillId="0" borderId="0" xfId="2" applyNumberFormat="1" applyFont="1" applyBorder="1" applyAlignment="1">
      <alignment vertical="center"/>
    </xf>
    <xf numFmtId="43" fontId="51" fillId="0" borderId="0" xfId="299" applyNumberFormat="1" applyFont="1" applyAlignment="1">
      <alignment vertical="center"/>
    </xf>
    <xf numFmtId="9" fontId="9" fillId="0" borderId="0" xfId="0" applyNumberFormat="1" applyFont="1" applyFill="1" applyBorder="1" applyAlignment="1">
      <alignment vertical="center"/>
    </xf>
    <xf numFmtId="164" fontId="9" fillId="0" borderId="0" xfId="0" applyNumberFormat="1" applyFont="1" applyFill="1" applyBorder="1" applyAlignment="1">
      <alignment vertical="center"/>
    </xf>
    <xf numFmtId="0" fontId="9" fillId="0" borderId="0" xfId="0" applyFont="1" applyFill="1" applyBorder="1" applyAlignment="1">
      <alignment horizontal="center" vertical="center"/>
    </xf>
    <xf numFmtId="37" fontId="9" fillId="0" borderId="0" xfId="0" applyNumberFormat="1" applyFont="1" applyFill="1" applyBorder="1" applyAlignment="1">
      <alignment vertical="center"/>
    </xf>
    <xf numFmtId="166" fontId="9" fillId="0" borderId="0" xfId="2" applyNumberFormat="1" applyFont="1" applyFill="1" applyBorder="1" applyAlignment="1">
      <alignment vertical="center"/>
    </xf>
    <xf numFmtId="0" fontId="74" fillId="0" borderId="0" xfId="0" applyFont="1" applyFill="1" applyBorder="1" applyAlignment="1">
      <alignment vertical="center"/>
    </xf>
    <xf numFmtId="0" fontId="68" fillId="0" borderId="0" xfId="0" applyFont="1" applyFill="1" applyBorder="1" applyAlignment="1">
      <alignment vertical="center"/>
    </xf>
    <xf numFmtId="166" fontId="0" fillId="0" borderId="2" xfId="2" applyNumberFormat="1" applyFont="1" applyBorder="1" applyAlignment="1">
      <alignment vertical="center"/>
    </xf>
    <xf numFmtId="0" fontId="10" fillId="39" borderId="7" xfId="0" applyFont="1" applyFill="1" applyBorder="1" applyAlignment="1">
      <alignment horizontal="center" vertical="center" wrapText="1"/>
    </xf>
    <xf numFmtId="41" fontId="0" fillId="0" borderId="2" xfId="2" applyNumberFormat="1" applyFont="1" applyFill="1" applyBorder="1" applyAlignment="1">
      <alignment vertical="center"/>
    </xf>
    <xf numFmtId="164" fontId="0" fillId="0" borderId="0" xfId="2" applyNumberFormat="1" applyFont="1" applyFill="1" applyBorder="1" applyAlignment="1">
      <alignment vertical="center"/>
    </xf>
    <xf numFmtId="0" fontId="0" fillId="0" borderId="2" xfId="0" applyBorder="1" applyAlignment="1">
      <alignment horizontal="center"/>
    </xf>
    <xf numFmtId="0" fontId="0" fillId="0" borderId="2" xfId="0" applyBorder="1"/>
    <xf numFmtId="0" fontId="0" fillId="0" borderId="0" xfId="0" applyAlignment="1">
      <alignment horizontal="center"/>
    </xf>
    <xf numFmtId="166" fontId="0" fillId="0" borderId="2" xfId="2" applyNumberFormat="1" applyFont="1" applyBorder="1"/>
    <xf numFmtId="166" fontId="0" fillId="0" borderId="2" xfId="0" applyNumberFormat="1" applyBorder="1"/>
    <xf numFmtId="166" fontId="10" fillId="0" borderId="28" xfId="2" applyNumberFormat="1" applyFont="1" applyBorder="1"/>
    <xf numFmtId="0" fontId="50" fillId="35" borderId="2" xfId="2" applyNumberFormat="1" applyFont="1" applyFill="1" applyBorder="1" applyAlignment="1">
      <alignment horizontal="center" vertical="center" wrapText="1"/>
    </xf>
    <xf numFmtId="0" fontId="10" fillId="39" borderId="7" xfId="0" applyFont="1" applyFill="1" applyBorder="1" applyAlignment="1">
      <alignment horizontal="center" vertical="center" wrapText="1"/>
    </xf>
    <xf numFmtId="2" fontId="0" fillId="0" borderId="0" xfId="0" applyNumberFormat="1"/>
    <xf numFmtId="2" fontId="0" fillId="0" borderId="0" xfId="0" applyNumberFormat="1" applyAlignment="1">
      <alignment horizontal="left" vertical="top"/>
    </xf>
    <xf numFmtId="0" fontId="0" fillId="0" borderId="0" xfId="0" applyNumberFormat="1" applyAlignment="1">
      <alignment horizontal="left" vertical="top"/>
    </xf>
    <xf numFmtId="0" fontId="0" fillId="0" borderId="0" xfId="0" applyNumberFormat="1"/>
    <xf numFmtId="4" fontId="0" fillId="0" borderId="0" xfId="0" applyNumberFormat="1"/>
    <xf numFmtId="43" fontId="42" fillId="0" borderId="0" xfId="0" applyNumberFormat="1" applyFont="1" applyFill="1" applyBorder="1" applyAlignment="1">
      <alignment horizontal="left" vertical="top"/>
    </xf>
    <xf numFmtId="0" fontId="0" fillId="0" borderId="0" xfId="0" applyAlignment="1">
      <alignment horizontal="right" vertical="top" wrapText="1"/>
    </xf>
    <xf numFmtId="2" fontId="39" fillId="0" borderId="2" xfId="0" applyNumberFormat="1" applyFont="1" applyFill="1" applyBorder="1"/>
    <xf numFmtId="5" fontId="8" fillId="0" borderId="0" xfId="0" applyNumberFormat="1" applyFont="1" applyBorder="1" applyAlignment="1">
      <alignment vertical="center"/>
    </xf>
    <xf numFmtId="49" fontId="52" fillId="0" borderId="0" xfId="0" applyNumberFormat="1" applyFont="1" applyAlignment="1">
      <alignment horizontal="left" vertical="center"/>
    </xf>
    <xf numFmtId="166" fontId="0" fillId="0" borderId="2" xfId="0" applyNumberFormat="1" applyFont="1" applyBorder="1" applyAlignment="1">
      <alignment vertical="center"/>
    </xf>
    <xf numFmtId="0" fontId="76" fillId="0" borderId="0" xfId="0" applyFont="1" applyFill="1" applyBorder="1" applyAlignment="1">
      <alignment vertical="center"/>
    </xf>
    <xf numFmtId="0" fontId="9" fillId="0" borderId="0" xfId="0" applyFont="1" applyFill="1" applyBorder="1" applyAlignment="1">
      <alignment vertical="center" wrapText="1"/>
    </xf>
    <xf numFmtId="169" fontId="9" fillId="0" borderId="0" xfId="1" applyNumberFormat="1" applyFont="1" applyFill="1" applyBorder="1" applyAlignment="1">
      <alignment vertical="center"/>
    </xf>
    <xf numFmtId="2" fontId="39" fillId="0" borderId="2" xfId="0" applyNumberFormat="1" applyFont="1" applyBorder="1"/>
    <xf numFmtId="0" fontId="39" fillId="0" borderId="0" xfId="22" applyFont="1" applyAlignment="1">
      <alignment horizontal="left"/>
    </xf>
    <xf numFmtId="0" fontId="61" fillId="0" borderId="0" xfId="0" applyFont="1" applyFill="1" applyBorder="1" applyAlignment="1">
      <alignment horizontal="left" vertical="center" wrapText="1"/>
    </xf>
    <xf numFmtId="0" fontId="50" fillId="36"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2" xfId="0" applyFont="1" applyFill="1" applyBorder="1" applyAlignment="1">
      <alignment horizontal="center" vertical="center"/>
    </xf>
    <xf numFmtId="0" fontId="10" fillId="33" borderId="2" xfId="0" applyFont="1" applyFill="1" applyBorder="1" applyAlignment="1">
      <alignment horizontal="center" vertical="center" wrapText="1"/>
    </xf>
    <xf numFmtId="0" fontId="10" fillId="26" borderId="7" xfId="0" applyFont="1" applyFill="1" applyBorder="1" applyAlignment="1">
      <alignment horizontal="center" vertical="center"/>
    </xf>
    <xf numFmtId="0" fontId="10" fillId="26" borderId="3" xfId="0" applyFont="1" applyFill="1" applyBorder="1" applyAlignment="1">
      <alignment horizontal="center" vertical="center"/>
    </xf>
    <xf numFmtId="0" fontId="10" fillId="33" borderId="4" xfId="0" applyFont="1" applyFill="1" applyBorder="1" applyAlignment="1">
      <alignment horizontal="center" vertical="center" wrapText="1"/>
    </xf>
    <xf numFmtId="0" fontId="10" fillId="33" borderId="5" xfId="0" applyFont="1" applyFill="1" applyBorder="1" applyAlignment="1">
      <alignment horizontal="center" vertical="center" wrapText="1"/>
    </xf>
    <xf numFmtId="0" fontId="10" fillId="33" borderId="6" xfId="0" applyFont="1" applyFill="1" applyBorder="1" applyAlignment="1">
      <alignment horizontal="center" vertical="center" wrapText="1"/>
    </xf>
    <xf numFmtId="0" fontId="50" fillId="38" borderId="2" xfId="0" applyFont="1" applyFill="1" applyBorder="1" applyAlignment="1">
      <alignment horizontal="center" vertical="center" wrapText="1"/>
    </xf>
    <xf numFmtId="0" fontId="10" fillId="34" borderId="2" xfId="0" applyFont="1" applyFill="1" applyBorder="1" applyAlignment="1">
      <alignment horizontal="center" vertical="center" wrapText="1"/>
    </xf>
    <xf numFmtId="0" fontId="45" fillId="26" borderId="7" xfId="22" applyFont="1" applyFill="1" applyBorder="1" applyAlignment="1">
      <alignment horizontal="center" vertical="center"/>
    </xf>
    <xf numFmtId="0" fontId="45" fillId="26" borderId="3" xfId="22" applyFont="1" applyFill="1" applyBorder="1" applyAlignment="1">
      <alignment horizontal="center" vertical="center"/>
    </xf>
    <xf numFmtId="0" fontId="44" fillId="26" borderId="7" xfId="22" applyFont="1" applyFill="1" applyBorder="1" applyAlignment="1">
      <alignment horizontal="center" vertical="center" wrapText="1"/>
    </xf>
    <xf numFmtId="0" fontId="44" fillId="26" borderId="3" xfId="22" applyFont="1" applyFill="1" applyBorder="1" applyAlignment="1">
      <alignment horizontal="center" vertical="center" wrapText="1"/>
    </xf>
    <xf numFmtId="166" fontId="50" fillId="35" borderId="4" xfId="2" applyNumberFormat="1" applyFont="1" applyFill="1" applyBorder="1" applyAlignment="1">
      <alignment horizontal="center" vertical="center" wrapText="1"/>
    </xf>
    <xf numFmtId="166" fontId="50" fillId="35" borderId="5" xfId="2" applyNumberFormat="1" applyFont="1" applyFill="1" applyBorder="1" applyAlignment="1">
      <alignment horizontal="center" vertical="center" wrapText="1"/>
    </xf>
    <xf numFmtId="166" fontId="50" fillId="35" borderId="2" xfId="2" applyNumberFormat="1" applyFont="1" applyFill="1" applyBorder="1" applyAlignment="1">
      <alignment horizontal="center" vertical="center" wrapText="1"/>
    </xf>
    <xf numFmtId="0" fontId="10" fillId="26" borderId="2" xfId="0" applyFont="1" applyFill="1" applyBorder="1" applyAlignment="1">
      <alignment horizontal="center" vertical="center"/>
    </xf>
    <xf numFmtId="0" fontId="10" fillId="0" borderId="0" xfId="294" applyFont="1" applyBorder="1" applyAlignment="1">
      <alignment horizontal="right" vertical="center"/>
    </xf>
    <xf numFmtId="0" fontId="10" fillId="26" borderId="7" xfId="294" applyFont="1" applyFill="1" applyBorder="1" applyAlignment="1">
      <alignment horizontal="center" vertical="center" wrapText="1"/>
    </xf>
    <xf numFmtId="0" fontId="10" fillId="26" borderId="3" xfId="294" applyFont="1" applyFill="1" applyBorder="1" applyAlignment="1">
      <alignment horizontal="center" vertical="center" wrapText="1"/>
    </xf>
    <xf numFmtId="0" fontId="55" fillId="0" borderId="0" xfId="294" applyFont="1" applyAlignment="1">
      <alignment horizontal="left" vertical="center" wrapText="1"/>
    </xf>
    <xf numFmtId="0" fontId="10" fillId="26" borderId="7" xfId="299" applyFont="1" applyFill="1" applyBorder="1" applyAlignment="1">
      <alignment horizontal="center" vertical="center" wrapText="1"/>
    </xf>
    <xf numFmtId="0" fontId="10" fillId="26" borderId="3" xfId="299" applyFont="1" applyFill="1" applyBorder="1" applyAlignment="1">
      <alignment horizontal="center" vertical="center" wrapText="1"/>
    </xf>
    <xf numFmtId="0" fontId="10" fillId="34" borderId="4" xfId="0" applyFont="1" applyFill="1" applyBorder="1" applyAlignment="1">
      <alignment horizontal="center" vertical="center" wrapText="1"/>
    </xf>
    <xf numFmtId="0" fontId="10" fillId="34" borderId="6" xfId="0" applyFont="1" applyFill="1" applyBorder="1" applyAlignment="1">
      <alignment horizontal="center" vertical="center" wrapText="1"/>
    </xf>
    <xf numFmtId="0" fontId="10" fillId="26" borderId="7" xfId="0" applyFont="1" applyFill="1" applyBorder="1" applyAlignment="1">
      <alignment horizontal="center" vertical="center" wrapText="1"/>
    </xf>
    <xf numFmtId="0" fontId="10" fillId="26" borderId="3" xfId="0" applyFont="1" applyFill="1" applyBorder="1" applyAlignment="1">
      <alignment horizontal="center" vertical="center" wrapText="1"/>
    </xf>
    <xf numFmtId="0" fontId="37" fillId="0" borderId="21" xfId="0" applyFont="1" applyBorder="1" applyAlignment="1">
      <alignment horizontal="center" vertical="center"/>
    </xf>
    <xf numFmtId="3" fontId="37" fillId="0" borderId="25" xfId="0" applyNumberFormat="1" applyFont="1" applyBorder="1" applyAlignment="1">
      <alignment horizontal="center" vertical="center"/>
    </xf>
    <xf numFmtId="0" fontId="37" fillId="0" borderId="22" xfId="0" applyFont="1" applyBorder="1" applyAlignment="1">
      <alignment horizontal="center" vertical="center"/>
    </xf>
    <xf numFmtId="3" fontId="37" fillId="0" borderId="26" xfId="0" applyNumberFormat="1" applyFont="1" applyBorder="1" applyAlignment="1">
      <alignment horizontal="center" vertical="center"/>
    </xf>
    <xf numFmtId="164" fontId="37" fillId="0" borderId="25" xfId="0" applyNumberFormat="1" applyFont="1" applyBorder="1" applyAlignment="1">
      <alignment horizontal="center" vertical="center"/>
    </xf>
    <xf numFmtId="0" fontId="10" fillId="39" borderId="7" xfId="0" applyFont="1" applyFill="1" applyBorder="1" applyAlignment="1">
      <alignment horizontal="center" vertical="center" wrapText="1"/>
    </xf>
    <xf numFmtId="0" fontId="10" fillId="39" borderId="3" xfId="0" applyFont="1" applyFill="1" applyBorder="1" applyAlignment="1">
      <alignment horizontal="center" vertical="center" wrapText="1"/>
    </xf>
    <xf numFmtId="166" fontId="65" fillId="35" borderId="31" xfId="2" applyNumberFormat="1" applyFont="1" applyFill="1" applyBorder="1" applyAlignment="1">
      <alignment horizontal="center" vertical="center" wrapText="1"/>
    </xf>
    <xf numFmtId="166" fontId="65" fillId="35" borderId="29" xfId="2" applyNumberFormat="1" applyFont="1" applyFill="1" applyBorder="1" applyAlignment="1">
      <alignment horizontal="center" vertical="center" wrapText="1"/>
    </xf>
    <xf numFmtId="166" fontId="65" fillId="35" borderId="32" xfId="2" applyNumberFormat="1" applyFont="1" applyFill="1" applyBorder="1" applyAlignment="1">
      <alignment horizontal="center" vertical="center" wrapText="1"/>
    </xf>
    <xf numFmtId="166" fontId="65" fillId="35" borderId="30" xfId="2" applyNumberFormat="1" applyFont="1" applyFill="1" applyBorder="1" applyAlignment="1">
      <alignment horizontal="center" vertical="center" wrapText="1"/>
    </xf>
    <xf numFmtId="164" fontId="10" fillId="0" borderId="0" xfId="3" applyNumberFormat="1" applyFont="1" applyFill="1" applyBorder="1" applyAlignment="1">
      <alignment horizontal="center" vertical="center" wrapText="1"/>
    </xf>
    <xf numFmtId="0" fontId="10" fillId="26" borderId="2" xfId="291" applyFont="1" applyFill="1" applyBorder="1" applyAlignment="1">
      <alignment horizontal="center" vertical="center" wrapText="1"/>
    </xf>
    <xf numFmtId="10" fontId="10" fillId="26" borderId="2" xfId="1" applyNumberFormat="1" applyFont="1" applyFill="1" applyBorder="1" applyAlignment="1">
      <alignment horizontal="center" vertical="center" wrapText="1"/>
    </xf>
    <xf numFmtId="0" fontId="63" fillId="32" borderId="0" xfId="0" applyFont="1" applyFill="1" applyBorder="1" applyAlignment="1">
      <alignment horizontal="left" vertical="center" wrapText="1"/>
    </xf>
    <xf numFmtId="0" fontId="63" fillId="32" borderId="0" xfId="0" applyFont="1" applyFill="1" applyBorder="1" applyAlignment="1">
      <alignment horizontal="center" vertical="center"/>
    </xf>
  </cellXfs>
  <cellStyles count="330">
    <cellStyle name="%" xfId="283" xr:uid="{00000000-0005-0000-0000-000000000000}"/>
    <cellStyle name="20% - Accent1 2" xfId="48" xr:uid="{00000000-0005-0000-0000-000001000000}"/>
    <cellStyle name="20% - Accent1 3" xfId="49" xr:uid="{00000000-0005-0000-0000-000002000000}"/>
    <cellStyle name="20% - Accent1 4" xfId="50" xr:uid="{00000000-0005-0000-0000-000003000000}"/>
    <cellStyle name="20% - Accent1 5" xfId="51" xr:uid="{00000000-0005-0000-0000-000004000000}"/>
    <cellStyle name="20% - Accent1 6" xfId="52" xr:uid="{00000000-0005-0000-0000-000005000000}"/>
    <cellStyle name="20% - Accent1 7" xfId="329" xr:uid="{00000000-0005-0000-0000-000006000000}"/>
    <cellStyle name="20% - Accent2 2" xfId="53" xr:uid="{00000000-0005-0000-0000-000007000000}"/>
    <cellStyle name="20% - Accent2 3" xfId="54" xr:uid="{00000000-0005-0000-0000-000008000000}"/>
    <cellStyle name="20% - Accent2 4" xfId="55" xr:uid="{00000000-0005-0000-0000-000009000000}"/>
    <cellStyle name="20% - Accent2 5" xfId="56" xr:uid="{00000000-0005-0000-0000-00000A000000}"/>
    <cellStyle name="20% - Accent2 6" xfId="57" xr:uid="{00000000-0005-0000-0000-00000B000000}"/>
    <cellStyle name="20% - Accent3 2" xfId="58" xr:uid="{00000000-0005-0000-0000-00000C000000}"/>
    <cellStyle name="20% - Accent3 3" xfId="59" xr:uid="{00000000-0005-0000-0000-00000D000000}"/>
    <cellStyle name="20% - Accent3 4" xfId="60" xr:uid="{00000000-0005-0000-0000-00000E000000}"/>
    <cellStyle name="20% - Accent3 5" xfId="61" xr:uid="{00000000-0005-0000-0000-00000F000000}"/>
    <cellStyle name="20% - Accent3 6" xfId="62" xr:uid="{00000000-0005-0000-0000-000010000000}"/>
    <cellStyle name="20% - Accent3 7" xfId="326" xr:uid="{00000000-0005-0000-0000-000011000000}"/>
    <cellStyle name="20% - Accent4 2" xfId="63" xr:uid="{00000000-0005-0000-0000-000012000000}"/>
    <cellStyle name="20% - Accent4 3" xfId="64" xr:uid="{00000000-0005-0000-0000-000013000000}"/>
    <cellStyle name="20% - Accent4 4" xfId="65" xr:uid="{00000000-0005-0000-0000-000014000000}"/>
    <cellStyle name="20% - Accent4 5" xfId="66" xr:uid="{00000000-0005-0000-0000-000015000000}"/>
    <cellStyle name="20% - Accent4 6" xfId="67" xr:uid="{00000000-0005-0000-0000-000016000000}"/>
    <cellStyle name="20% - Accent5 2" xfId="68" xr:uid="{00000000-0005-0000-0000-000017000000}"/>
    <cellStyle name="20% - Accent5 3" xfId="69" xr:uid="{00000000-0005-0000-0000-000018000000}"/>
    <cellStyle name="20% - Accent5 4" xfId="70" xr:uid="{00000000-0005-0000-0000-000019000000}"/>
    <cellStyle name="20% - Accent5 5" xfId="71" xr:uid="{00000000-0005-0000-0000-00001A000000}"/>
    <cellStyle name="20% - Accent5 6" xfId="72" xr:uid="{00000000-0005-0000-0000-00001B000000}"/>
    <cellStyle name="20% - Accent6 2" xfId="73" xr:uid="{00000000-0005-0000-0000-00001C000000}"/>
    <cellStyle name="20% - Accent6 3" xfId="74" xr:uid="{00000000-0005-0000-0000-00001D000000}"/>
    <cellStyle name="20% - Accent6 4" xfId="75" xr:uid="{00000000-0005-0000-0000-00001E000000}"/>
    <cellStyle name="20% - Accent6 5" xfId="76" xr:uid="{00000000-0005-0000-0000-00001F000000}"/>
    <cellStyle name="20% - Accent6 6" xfId="77" xr:uid="{00000000-0005-0000-0000-000020000000}"/>
    <cellStyle name="20% - Accent6 7" xfId="327" xr:uid="{00000000-0005-0000-0000-000021000000}"/>
    <cellStyle name="40% - Accent1 2" xfId="78" xr:uid="{00000000-0005-0000-0000-000022000000}"/>
    <cellStyle name="40% - Accent1 3" xfId="79" xr:uid="{00000000-0005-0000-0000-000023000000}"/>
    <cellStyle name="40% - Accent1 4" xfId="80" xr:uid="{00000000-0005-0000-0000-000024000000}"/>
    <cellStyle name="40% - Accent1 5" xfId="81" xr:uid="{00000000-0005-0000-0000-000025000000}"/>
    <cellStyle name="40% - Accent1 6" xfId="82" xr:uid="{00000000-0005-0000-0000-000026000000}"/>
    <cellStyle name="40% - Accent2 2" xfId="83" xr:uid="{00000000-0005-0000-0000-000027000000}"/>
    <cellStyle name="40% - Accent2 3" xfId="84" xr:uid="{00000000-0005-0000-0000-000028000000}"/>
    <cellStyle name="40% - Accent2 4" xfId="85" xr:uid="{00000000-0005-0000-0000-000029000000}"/>
    <cellStyle name="40% - Accent2 5" xfId="86" xr:uid="{00000000-0005-0000-0000-00002A000000}"/>
    <cellStyle name="40% - Accent2 6" xfId="87" xr:uid="{00000000-0005-0000-0000-00002B000000}"/>
    <cellStyle name="40% - Accent3 2" xfId="88" xr:uid="{00000000-0005-0000-0000-00002C000000}"/>
    <cellStyle name="40% - Accent3 3" xfId="89" xr:uid="{00000000-0005-0000-0000-00002D000000}"/>
    <cellStyle name="40% - Accent3 4" xfId="90" xr:uid="{00000000-0005-0000-0000-00002E000000}"/>
    <cellStyle name="40% - Accent3 5" xfId="91" xr:uid="{00000000-0005-0000-0000-00002F000000}"/>
    <cellStyle name="40% - Accent3 6" xfId="92" xr:uid="{00000000-0005-0000-0000-000030000000}"/>
    <cellStyle name="40% - Accent4 2" xfId="93" xr:uid="{00000000-0005-0000-0000-000031000000}"/>
    <cellStyle name="40% - Accent4 3" xfId="94" xr:uid="{00000000-0005-0000-0000-000032000000}"/>
    <cellStyle name="40% - Accent4 4" xfId="95" xr:uid="{00000000-0005-0000-0000-000033000000}"/>
    <cellStyle name="40% - Accent4 5" xfId="96" xr:uid="{00000000-0005-0000-0000-000034000000}"/>
    <cellStyle name="40% - Accent4 6" xfId="97" xr:uid="{00000000-0005-0000-0000-000035000000}"/>
    <cellStyle name="40% - Accent5 2" xfId="98" xr:uid="{00000000-0005-0000-0000-000036000000}"/>
    <cellStyle name="40% - Accent5 3" xfId="99" xr:uid="{00000000-0005-0000-0000-000037000000}"/>
    <cellStyle name="40% - Accent5 4" xfId="100" xr:uid="{00000000-0005-0000-0000-000038000000}"/>
    <cellStyle name="40% - Accent5 5" xfId="101" xr:uid="{00000000-0005-0000-0000-000039000000}"/>
    <cellStyle name="40% - Accent5 6" xfId="102" xr:uid="{00000000-0005-0000-0000-00003A000000}"/>
    <cellStyle name="40% - Accent6 2" xfId="103" xr:uid="{00000000-0005-0000-0000-00003B000000}"/>
    <cellStyle name="40% - Accent6 3" xfId="104" xr:uid="{00000000-0005-0000-0000-00003C000000}"/>
    <cellStyle name="40% - Accent6 4" xfId="105" xr:uid="{00000000-0005-0000-0000-00003D000000}"/>
    <cellStyle name="40% - Accent6 5" xfId="106" xr:uid="{00000000-0005-0000-0000-00003E000000}"/>
    <cellStyle name="40% - Accent6 6" xfId="107" xr:uid="{00000000-0005-0000-0000-00003F000000}"/>
    <cellStyle name="60% - Accent1 2" xfId="108" xr:uid="{00000000-0005-0000-0000-000040000000}"/>
    <cellStyle name="60% - Accent1 3" xfId="109" xr:uid="{00000000-0005-0000-0000-000041000000}"/>
    <cellStyle name="60% - Accent1 4" xfId="110" xr:uid="{00000000-0005-0000-0000-000042000000}"/>
    <cellStyle name="60% - Accent1 5" xfId="111" xr:uid="{00000000-0005-0000-0000-000043000000}"/>
    <cellStyle name="60% - Accent1 6" xfId="112" xr:uid="{00000000-0005-0000-0000-000044000000}"/>
    <cellStyle name="60% - Accent2 2" xfId="113" xr:uid="{00000000-0005-0000-0000-000045000000}"/>
    <cellStyle name="60% - Accent2 3" xfId="114" xr:uid="{00000000-0005-0000-0000-000046000000}"/>
    <cellStyle name="60% - Accent2 4" xfId="115" xr:uid="{00000000-0005-0000-0000-000047000000}"/>
    <cellStyle name="60% - Accent2 5" xfId="116" xr:uid="{00000000-0005-0000-0000-000048000000}"/>
    <cellStyle name="60% - Accent2 6" xfId="117" xr:uid="{00000000-0005-0000-0000-000049000000}"/>
    <cellStyle name="60% - Accent3 2" xfId="118" xr:uid="{00000000-0005-0000-0000-00004A000000}"/>
    <cellStyle name="60% - Accent3 3" xfId="119" xr:uid="{00000000-0005-0000-0000-00004B000000}"/>
    <cellStyle name="60% - Accent3 4" xfId="120" xr:uid="{00000000-0005-0000-0000-00004C000000}"/>
    <cellStyle name="60% - Accent3 5" xfId="121" xr:uid="{00000000-0005-0000-0000-00004D000000}"/>
    <cellStyle name="60% - Accent3 6" xfId="122" xr:uid="{00000000-0005-0000-0000-00004E000000}"/>
    <cellStyle name="60% - Accent4 2" xfId="123" xr:uid="{00000000-0005-0000-0000-00004F000000}"/>
    <cellStyle name="60% - Accent4 3" xfId="124" xr:uid="{00000000-0005-0000-0000-000050000000}"/>
    <cellStyle name="60% - Accent4 4" xfId="125" xr:uid="{00000000-0005-0000-0000-000051000000}"/>
    <cellStyle name="60% - Accent4 5" xfId="126" xr:uid="{00000000-0005-0000-0000-000052000000}"/>
    <cellStyle name="60% - Accent4 6" xfId="127" xr:uid="{00000000-0005-0000-0000-000053000000}"/>
    <cellStyle name="60% - Accent5 2" xfId="128" xr:uid="{00000000-0005-0000-0000-000054000000}"/>
    <cellStyle name="60% - Accent5 3" xfId="129" xr:uid="{00000000-0005-0000-0000-000055000000}"/>
    <cellStyle name="60% - Accent5 4" xfId="130" xr:uid="{00000000-0005-0000-0000-000056000000}"/>
    <cellStyle name="60% - Accent5 5" xfId="131" xr:uid="{00000000-0005-0000-0000-000057000000}"/>
    <cellStyle name="60% - Accent5 6" xfId="132" xr:uid="{00000000-0005-0000-0000-000058000000}"/>
    <cellStyle name="60% - Accent6 2" xfId="133" xr:uid="{00000000-0005-0000-0000-000059000000}"/>
    <cellStyle name="60% - Accent6 3" xfId="134" xr:uid="{00000000-0005-0000-0000-00005A000000}"/>
    <cellStyle name="60% - Accent6 4" xfId="135" xr:uid="{00000000-0005-0000-0000-00005B000000}"/>
    <cellStyle name="60% - Accent6 5" xfId="136" xr:uid="{00000000-0005-0000-0000-00005C000000}"/>
    <cellStyle name="60% - Accent6 6" xfId="137" xr:uid="{00000000-0005-0000-0000-00005D000000}"/>
    <cellStyle name="Accent1 2" xfId="138" xr:uid="{00000000-0005-0000-0000-00005E000000}"/>
    <cellStyle name="Accent1 3" xfId="139" xr:uid="{00000000-0005-0000-0000-00005F000000}"/>
    <cellStyle name="Accent1 4" xfId="140" xr:uid="{00000000-0005-0000-0000-000060000000}"/>
    <cellStyle name="Accent1 5" xfId="141" xr:uid="{00000000-0005-0000-0000-000061000000}"/>
    <cellStyle name="Accent1 6" xfId="142" xr:uid="{00000000-0005-0000-0000-000062000000}"/>
    <cellStyle name="Accent2 2" xfId="143" xr:uid="{00000000-0005-0000-0000-000063000000}"/>
    <cellStyle name="Accent2 3" xfId="144" xr:uid="{00000000-0005-0000-0000-000064000000}"/>
    <cellStyle name="Accent2 4" xfId="145" xr:uid="{00000000-0005-0000-0000-000065000000}"/>
    <cellStyle name="Accent2 5" xfId="146" xr:uid="{00000000-0005-0000-0000-000066000000}"/>
    <cellStyle name="Accent2 6" xfId="147" xr:uid="{00000000-0005-0000-0000-000067000000}"/>
    <cellStyle name="Accent3 2" xfId="148" xr:uid="{00000000-0005-0000-0000-000068000000}"/>
    <cellStyle name="Accent3 3" xfId="149" xr:uid="{00000000-0005-0000-0000-000069000000}"/>
    <cellStyle name="Accent3 4" xfId="150" xr:uid="{00000000-0005-0000-0000-00006A000000}"/>
    <cellStyle name="Accent3 5" xfId="151" xr:uid="{00000000-0005-0000-0000-00006B000000}"/>
    <cellStyle name="Accent3 6" xfId="152" xr:uid="{00000000-0005-0000-0000-00006C000000}"/>
    <cellStyle name="Accent4 2" xfId="153" xr:uid="{00000000-0005-0000-0000-00006D000000}"/>
    <cellStyle name="Accent4 3" xfId="154" xr:uid="{00000000-0005-0000-0000-00006E000000}"/>
    <cellStyle name="Accent4 4" xfId="155" xr:uid="{00000000-0005-0000-0000-00006F000000}"/>
    <cellStyle name="Accent4 5" xfId="156" xr:uid="{00000000-0005-0000-0000-000070000000}"/>
    <cellStyle name="Accent4 6" xfId="157" xr:uid="{00000000-0005-0000-0000-000071000000}"/>
    <cellStyle name="Accent5 2" xfId="158" xr:uid="{00000000-0005-0000-0000-000072000000}"/>
    <cellStyle name="Accent5 3" xfId="159" xr:uid="{00000000-0005-0000-0000-000073000000}"/>
    <cellStyle name="Accent5 4" xfId="160" xr:uid="{00000000-0005-0000-0000-000074000000}"/>
    <cellStyle name="Accent5 5" xfId="161" xr:uid="{00000000-0005-0000-0000-000075000000}"/>
    <cellStyle name="Accent5 6" xfId="162" xr:uid="{00000000-0005-0000-0000-000076000000}"/>
    <cellStyle name="Accent6 2" xfId="163" xr:uid="{00000000-0005-0000-0000-000077000000}"/>
    <cellStyle name="Accent6 3" xfId="164" xr:uid="{00000000-0005-0000-0000-000078000000}"/>
    <cellStyle name="Accent6 4" xfId="165" xr:uid="{00000000-0005-0000-0000-000079000000}"/>
    <cellStyle name="Accent6 5" xfId="166" xr:uid="{00000000-0005-0000-0000-00007A000000}"/>
    <cellStyle name="Accent6 6" xfId="167" xr:uid="{00000000-0005-0000-0000-00007B000000}"/>
    <cellStyle name="Bad 2" xfId="168" xr:uid="{00000000-0005-0000-0000-00007C000000}"/>
    <cellStyle name="Bad 3" xfId="169" xr:uid="{00000000-0005-0000-0000-00007D000000}"/>
    <cellStyle name="Bad 4" xfId="170" xr:uid="{00000000-0005-0000-0000-00007E000000}"/>
    <cellStyle name="Bad 5" xfId="171" xr:uid="{00000000-0005-0000-0000-00007F000000}"/>
    <cellStyle name="Bad 6" xfId="172" xr:uid="{00000000-0005-0000-0000-000080000000}"/>
    <cellStyle name="Calculation 2" xfId="173" xr:uid="{00000000-0005-0000-0000-000081000000}"/>
    <cellStyle name="Calculation 3" xfId="174" xr:uid="{00000000-0005-0000-0000-000082000000}"/>
    <cellStyle name="Calculation 4" xfId="175" xr:uid="{00000000-0005-0000-0000-000083000000}"/>
    <cellStyle name="Calculation 5" xfId="176" xr:uid="{00000000-0005-0000-0000-000084000000}"/>
    <cellStyle name="Calculation 6" xfId="177" xr:uid="{00000000-0005-0000-0000-000085000000}"/>
    <cellStyle name="Check Cell 2" xfId="178" xr:uid="{00000000-0005-0000-0000-000086000000}"/>
    <cellStyle name="Check Cell 3" xfId="179" xr:uid="{00000000-0005-0000-0000-000087000000}"/>
    <cellStyle name="Check Cell 4" xfId="180" xr:uid="{00000000-0005-0000-0000-000088000000}"/>
    <cellStyle name="Check Cell 5" xfId="181" xr:uid="{00000000-0005-0000-0000-000089000000}"/>
    <cellStyle name="Check Cell 6" xfId="182" xr:uid="{00000000-0005-0000-0000-00008A000000}"/>
    <cellStyle name="Comma" xfId="2" builtinId="3"/>
    <cellStyle name="Comma 10" xfId="284" xr:uid="{00000000-0005-0000-0000-00008C000000}"/>
    <cellStyle name="Comma 11" xfId="295" xr:uid="{00000000-0005-0000-0000-00008D000000}"/>
    <cellStyle name="Comma 12" xfId="319" xr:uid="{00000000-0005-0000-0000-00008E000000}"/>
    <cellStyle name="Comma 2" xfId="7" xr:uid="{00000000-0005-0000-0000-00008F000000}"/>
    <cellStyle name="Comma 2 2" xfId="45" xr:uid="{00000000-0005-0000-0000-000090000000}"/>
    <cellStyle name="Comma 2 3" xfId="183" xr:uid="{00000000-0005-0000-0000-000091000000}"/>
    <cellStyle name="Comma 2 3 2" xfId="301" xr:uid="{00000000-0005-0000-0000-000092000000}"/>
    <cellStyle name="Comma 2 4" xfId="184" xr:uid="{00000000-0005-0000-0000-000093000000}"/>
    <cellStyle name="Comma 2 5" xfId="282" xr:uid="{00000000-0005-0000-0000-000094000000}"/>
    <cellStyle name="Comma 2 5 2" xfId="292" xr:uid="{00000000-0005-0000-0000-000095000000}"/>
    <cellStyle name="Comma 2 5 2 2" xfId="302" xr:uid="{00000000-0005-0000-0000-000096000000}"/>
    <cellStyle name="Comma 2 5 3" xfId="298" xr:uid="{00000000-0005-0000-0000-000097000000}"/>
    <cellStyle name="Comma 2 5 4" xfId="318" xr:uid="{00000000-0005-0000-0000-000098000000}"/>
    <cellStyle name="Comma 2 6" xfId="286" xr:uid="{00000000-0005-0000-0000-000099000000}"/>
    <cellStyle name="Comma 2 6 2" xfId="288" xr:uid="{00000000-0005-0000-0000-00009A000000}"/>
    <cellStyle name="Comma 2 6 2 2" xfId="300" xr:uid="{00000000-0005-0000-0000-00009B000000}"/>
    <cellStyle name="Comma 2 7" xfId="303" xr:uid="{00000000-0005-0000-0000-00009C000000}"/>
    <cellStyle name="Comma 3" xfId="8" xr:uid="{00000000-0005-0000-0000-00009D000000}"/>
    <cellStyle name="Comma 3 2" xfId="46" xr:uid="{00000000-0005-0000-0000-00009E000000}"/>
    <cellStyle name="Comma 3 3" xfId="304" xr:uid="{00000000-0005-0000-0000-00009F000000}"/>
    <cellStyle name="Comma 37" xfId="293" xr:uid="{00000000-0005-0000-0000-0000A0000000}"/>
    <cellStyle name="Comma 4" xfId="9" xr:uid="{00000000-0005-0000-0000-0000A1000000}"/>
    <cellStyle name="Comma 4 2" xfId="185" xr:uid="{00000000-0005-0000-0000-0000A2000000}"/>
    <cellStyle name="Comma 4 3" xfId="305" xr:uid="{00000000-0005-0000-0000-0000A3000000}"/>
    <cellStyle name="Comma 5" xfId="10" xr:uid="{00000000-0005-0000-0000-0000A4000000}"/>
    <cellStyle name="Comma 5 2" xfId="186" xr:uid="{00000000-0005-0000-0000-0000A5000000}"/>
    <cellStyle name="Comma 5 3" xfId="187" xr:uid="{00000000-0005-0000-0000-0000A6000000}"/>
    <cellStyle name="Comma 6" xfId="188" xr:uid="{00000000-0005-0000-0000-0000A7000000}"/>
    <cellStyle name="Comma 7" xfId="189" xr:uid="{00000000-0005-0000-0000-0000A8000000}"/>
    <cellStyle name="Comma 8" xfId="190" xr:uid="{00000000-0005-0000-0000-0000A9000000}"/>
    <cellStyle name="Comma 9" xfId="47" xr:uid="{00000000-0005-0000-0000-0000AA000000}"/>
    <cellStyle name="Comma0" xfId="191" xr:uid="{00000000-0005-0000-0000-0000AB000000}"/>
    <cellStyle name="Currency" xfId="3" builtinId="4"/>
    <cellStyle name="Currency 2" xfId="11" xr:uid="{00000000-0005-0000-0000-0000AD000000}"/>
    <cellStyle name="Currency 2 2" xfId="306" xr:uid="{00000000-0005-0000-0000-0000AE000000}"/>
    <cellStyle name="Currency 3" xfId="192" xr:uid="{00000000-0005-0000-0000-0000AF000000}"/>
    <cellStyle name="Currency 3 2" xfId="193" xr:uid="{00000000-0005-0000-0000-0000B0000000}"/>
    <cellStyle name="Currency 4" xfId="290" xr:uid="{00000000-0005-0000-0000-0000B1000000}"/>
    <cellStyle name="Currency 4 2" xfId="307" xr:uid="{00000000-0005-0000-0000-0000B2000000}"/>
    <cellStyle name="Currency 5" xfId="296" xr:uid="{00000000-0005-0000-0000-0000B3000000}"/>
    <cellStyle name="Explanatory Text 2" xfId="194" xr:uid="{00000000-0005-0000-0000-0000B4000000}"/>
    <cellStyle name="Explanatory Text 3" xfId="195" xr:uid="{00000000-0005-0000-0000-0000B5000000}"/>
    <cellStyle name="Explanatory Text 4" xfId="196" xr:uid="{00000000-0005-0000-0000-0000B6000000}"/>
    <cellStyle name="Explanatory Text 5" xfId="197" xr:uid="{00000000-0005-0000-0000-0000B7000000}"/>
    <cellStyle name="Explanatory Text 6" xfId="198" xr:uid="{00000000-0005-0000-0000-0000B8000000}"/>
    <cellStyle name="Good 2" xfId="199" xr:uid="{00000000-0005-0000-0000-0000B9000000}"/>
    <cellStyle name="Good 3" xfId="200" xr:uid="{00000000-0005-0000-0000-0000BA000000}"/>
    <cellStyle name="Good 4" xfId="201" xr:uid="{00000000-0005-0000-0000-0000BB000000}"/>
    <cellStyle name="Good 5" xfId="202" xr:uid="{00000000-0005-0000-0000-0000BC000000}"/>
    <cellStyle name="Good 6" xfId="203" xr:uid="{00000000-0005-0000-0000-0000BD000000}"/>
    <cellStyle name="Heading 1 2" xfId="204" xr:uid="{00000000-0005-0000-0000-0000BE000000}"/>
    <cellStyle name="Heading 1 3" xfId="205" xr:uid="{00000000-0005-0000-0000-0000BF000000}"/>
    <cellStyle name="Heading 1 4" xfId="206" xr:uid="{00000000-0005-0000-0000-0000C0000000}"/>
    <cellStyle name="Heading 1 5" xfId="207" xr:uid="{00000000-0005-0000-0000-0000C1000000}"/>
    <cellStyle name="Heading 1 6" xfId="208" xr:uid="{00000000-0005-0000-0000-0000C2000000}"/>
    <cellStyle name="Heading 2 2" xfId="209" xr:uid="{00000000-0005-0000-0000-0000C3000000}"/>
    <cellStyle name="Heading 2 3" xfId="210" xr:uid="{00000000-0005-0000-0000-0000C4000000}"/>
    <cellStyle name="Heading 2 4" xfId="211" xr:uid="{00000000-0005-0000-0000-0000C5000000}"/>
    <cellStyle name="Heading 2 5" xfId="212" xr:uid="{00000000-0005-0000-0000-0000C6000000}"/>
    <cellStyle name="Heading 2 6" xfId="213" xr:uid="{00000000-0005-0000-0000-0000C7000000}"/>
    <cellStyle name="Heading 3 2" xfId="214" xr:uid="{00000000-0005-0000-0000-0000C8000000}"/>
    <cellStyle name="Heading 3 3" xfId="215" xr:uid="{00000000-0005-0000-0000-0000C9000000}"/>
    <cellStyle name="Heading 3 4" xfId="216" xr:uid="{00000000-0005-0000-0000-0000CA000000}"/>
    <cellStyle name="Heading 3 5" xfId="217" xr:uid="{00000000-0005-0000-0000-0000CB000000}"/>
    <cellStyle name="Heading 3 6" xfId="218" xr:uid="{00000000-0005-0000-0000-0000CC000000}"/>
    <cellStyle name="Heading 4 2" xfId="219" xr:uid="{00000000-0005-0000-0000-0000CD000000}"/>
    <cellStyle name="Heading 4 3" xfId="220" xr:uid="{00000000-0005-0000-0000-0000CE000000}"/>
    <cellStyle name="Heading 4 4" xfId="221" xr:uid="{00000000-0005-0000-0000-0000CF000000}"/>
    <cellStyle name="Heading 4 5" xfId="222" xr:uid="{00000000-0005-0000-0000-0000D0000000}"/>
    <cellStyle name="Heading 4 6" xfId="223" xr:uid="{00000000-0005-0000-0000-0000D1000000}"/>
    <cellStyle name="Input 2" xfId="224" xr:uid="{00000000-0005-0000-0000-0000D2000000}"/>
    <cellStyle name="Input 3" xfId="225" xr:uid="{00000000-0005-0000-0000-0000D3000000}"/>
    <cellStyle name="Input 4" xfId="226" xr:uid="{00000000-0005-0000-0000-0000D4000000}"/>
    <cellStyle name="Input 5" xfId="227" xr:uid="{00000000-0005-0000-0000-0000D5000000}"/>
    <cellStyle name="Input 6" xfId="228" xr:uid="{00000000-0005-0000-0000-0000D6000000}"/>
    <cellStyle name="Linked Cell 2" xfId="229" xr:uid="{00000000-0005-0000-0000-0000D7000000}"/>
    <cellStyle name="Linked Cell 3" xfId="230" xr:uid="{00000000-0005-0000-0000-0000D8000000}"/>
    <cellStyle name="Linked Cell 4" xfId="231" xr:uid="{00000000-0005-0000-0000-0000D9000000}"/>
    <cellStyle name="Linked Cell 5" xfId="232" xr:uid="{00000000-0005-0000-0000-0000DA000000}"/>
    <cellStyle name="Linked Cell 6" xfId="233" xr:uid="{00000000-0005-0000-0000-0000DB000000}"/>
    <cellStyle name="Neutral 2" xfId="234" xr:uid="{00000000-0005-0000-0000-0000DC000000}"/>
    <cellStyle name="Neutral 3" xfId="235" xr:uid="{00000000-0005-0000-0000-0000DD000000}"/>
    <cellStyle name="Neutral 4" xfId="236" xr:uid="{00000000-0005-0000-0000-0000DE000000}"/>
    <cellStyle name="Neutral 5" xfId="237" xr:uid="{00000000-0005-0000-0000-0000DF000000}"/>
    <cellStyle name="Neutral 6" xfId="238" xr:uid="{00000000-0005-0000-0000-0000E0000000}"/>
    <cellStyle name="Normal" xfId="0" builtinId="0"/>
    <cellStyle name="Normal 10" xfId="12" xr:uid="{00000000-0005-0000-0000-0000E2000000}"/>
    <cellStyle name="Normal 10 2" xfId="308" xr:uid="{00000000-0005-0000-0000-0000E3000000}"/>
    <cellStyle name="Normal 11" xfId="13" xr:uid="{00000000-0005-0000-0000-0000E4000000}"/>
    <cellStyle name="Normal 11 2" xfId="309" xr:uid="{00000000-0005-0000-0000-0000E5000000}"/>
    <cellStyle name="Normal 12" xfId="14" xr:uid="{00000000-0005-0000-0000-0000E6000000}"/>
    <cellStyle name="Normal 12 2" xfId="310" xr:uid="{00000000-0005-0000-0000-0000E7000000}"/>
    <cellStyle name="Normal 13" xfId="15" xr:uid="{00000000-0005-0000-0000-0000E8000000}"/>
    <cellStyle name="Normal 14" xfId="16" xr:uid="{00000000-0005-0000-0000-0000E9000000}"/>
    <cellStyle name="Normal 15" xfId="17" xr:uid="{00000000-0005-0000-0000-0000EA000000}"/>
    <cellStyle name="Normal 16" xfId="18" xr:uid="{00000000-0005-0000-0000-0000EB000000}"/>
    <cellStyle name="Normal 17" xfId="19" xr:uid="{00000000-0005-0000-0000-0000EC000000}"/>
    <cellStyle name="Normal 18" xfId="20" xr:uid="{00000000-0005-0000-0000-0000ED000000}"/>
    <cellStyle name="Normal 19" xfId="21" xr:uid="{00000000-0005-0000-0000-0000EE000000}"/>
    <cellStyle name="Normal 2" xfId="6" xr:uid="{00000000-0005-0000-0000-0000EF000000}"/>
    <cellStyle name="Normal 2 2" xfId="22" xr:uid="{00000000-0005-0000-0000-0000F0000000}"/>
    <cellStyle name="Normal 2 2 2" xfId="311" xr:uid="{00000000-0005-0000-0000-0000F1000000}"/>
    <cellStyle name="Normal 2 3" xfId="239" xr:uid="{00000000-0005-0000-0000-0000F2000000}"/>
    <cellStyle name="Normal 2 4" xfId="240" xr:uid="{00000000-0005-0000-0000-0000F3000000}"/>
    <cellStyle name="Normal 2 4 2" xfId="320" xr:uid="{00000000-0005-0000-0000-0000F4000000}"/>
    <cellStyle name="Normal 2 5" xfId="281" xr:uid="{00000000-0005-0000-0000-0000F5000000}"/>
    <cellStyle name="Normal 2 5 2" xfId="291" xr:uid="{00000000-0005-0000-0000-0000F6000000}"/>
    <cellStyle name="Normal 2 5 3" xfId="297" xr:uid="{00000000-0005-0000-0000-0000F7000000}"/>
    <cellStyle name="Normal 2 6" xfId="285" xr:uid="{00000000-0005-0000-0000-0000F8000000}"/>
    <cellStyle name="Normal 2 6 2" xfId="287" xr:uid="{00000000-0005-0000-0000-0000F9000000}"/>
    <cellStyle name="Normal 2 6 2 2" xfId="299" xr:uid="{00000000-0005-0000-0000-0000FA000000}"/>
    <cellStyle name="Normal 2 7" xfId="312" xr:uid="{00000000-0005-0000-0000-0000FB000000}"/>
    <cellStyle name="Normal 2 8" xfId="328" xr:uid="{00000000-0005-0000-0000-0000FC000000}"/>
    <cellStyle name="Normal 20" xfId="23" xr:uid="{00000000-0005-0000-0000-0000FD000000}"/>
    <cellStyle name="Normal 21" xfId="24" xr:uid="{00000000-0005-0000-0000-0000FE000000}"/>
    <cellStyle name="Normal 22" xfId="25" xr:uid="{00000000-0005-0000-0000-0000FF000000}"/>
    <cellStyle name="Normal 23" xfId="26" xr:uid="{00000000-0005-0000-0000-000000010000}"/>
    <cellStyle name="Normal 24" xfId="27" xr:uid="{00000000-0005-0000-0000-000001010000}"/>
    <cellStyle name="Normal 25" xfId="28" xr:uid="{00000000-0005-0000-0000-000002010000}"/>
    <cellStyle name="Normal 26" xfId="29" xr:uid="{00000000-0005-0000-0000-000003010000}"/>
    <cellStyle name="Normal 27" xfId="30" xr:uid="{00000000-0005-0000-0000-000004010000}"/>
    <cellStyle name="Normal 28" xfId="31" xr:uid="{00000000-0005-0000-0000-000005010000}"/>
    <cellStyle name="Normal 29" xfId="32" xr:uid="{00000000-0005-0000-0000-000006010000}"/>
    <cellStyle name="Normal 3" xfId="5" xr:uid="{00000000-0005-0000-0000-000007010000}"/>
    <cellStyle name="Normal 3 2" xfId="241" xr:uid="{00000000-0005-0000-0000-000008010000}"/>
    <cellStyle name="Normal 3 3" xfId="242" xr:uid="{00000000-0005-0000-0000-000009010000}"/>
    <cellStyle name="Normal 3 4" xfId="243" xr:uid="{00000000-0005-0000-0000-00000A010000}"/>
    <cellStyle name="Normal 3 5" xfId="313" xr:uid="{00000000-0005-0000-0000-00000B010000}"/>
    <cellStyle name="Normal 30" xfId="33" xr:uid="{00000000-0005-0000-0000-00000C010000}"/>
    <cellStyle name="Normal 31" xfId="34" xr:uid="{00000000-0005-0000-0000-00000D010000}"/>
    <cellStyle name="Normal 32" xfId="35" xr:uid="{00000000-0005-0000-0000-00000E010000}"/>
    <cellStyle name="Normal 33" xfId="36" xr:uid="{00000000-0005-0000-0000-00000F010000}"/>
    <cellStyle name="Normal 34" xfId="37" xr:uid="{00000000-0005-0000-0000-000010010000}"/>
    <cellStyle name="Normal 35" xfId="294" xr:uid="{00000000-0005-0000-0000-000011010000}"/>
    <cellStyle name="Normal 36" xfId="321" xr:uid="{00000000-0005-0000-0000-000012010000}"/>
    <cellStyle name="Normal 37" xfId="322" xr:uid="{00000000-0005-0000-0000-000013010000}"/>
    <cellStyle name="Normal 38" xfId="323" xr:uid="{00000000-0005-0000-0000-000014010000}"/>
    <cellStyle name="Normal 39" xfId="324" xr:uid="{00000000-0005-0000-0000-000015010000}"/>
    <cellStyle name="Normal 4" xfId="4" xr:uid="{00000000-0005-0000-0000-000016010000}"/>
    <cellStyle name="Normal 4 2" xfId="244" xr:uid="{00000000-0005-0000-0000-000017010000}"/>
    <cellStyle name="Normal 4_STCIMF TCTF Handout v3" xfId="245" xr:uid="{00000000-0005-0000-0000-000018010000}"/>
    <cellStyle name="Normal 5" xfId="38" xr:uid="{00000000-0005-0000-0000-000019010000}"/>
    <cellStyle name="Normal 6" xfId="39" xr:uid="{00000000-0005-0000-0000-00001A010000}"/>
    <cellStyle name="Normal 7" xfId="40" xr:uid="{00000000-0005-0000-0000-00001B010000}"/>
    <cellStyle name="Normal 7 2" xfId="246" xr:uid="{00000000-0005-0000-0000-00001C010000}"/>
    <cellStyle name="Normal 8" xfId="41" xr:uid="{00000000-0005-0000-0000-00001D010000}"/>
    <cellStyle name="Normal 8 2" xfId="247" xr:uid="{00000000-0005-0000-0000-00001E010000}"/>
    <cellStyle name="Normal 9" xfId="42" xr:uid="{00000000-0005-0000-0000-00001F010000}"/>
    <cellStyle name="Note 2" xfId="248" xr:uid="{00000000-0005-0000-0000-000020010000}"/>
    <cellStyle name="Note 3" xfId="249" xr:uid="{00000000-0005-0000-0000-000021010000}"/>
    <cellStyle name="Note 4" xfId="250" xr:uid="{00000000-0005-0000-0000-000022010000}"/>
    <cellStyle name="Note 5" xfId="251" xr:uid="{00000000-0005-0000-0000-000023010000}"/>
    <cellStyle name="Note 6" xfId="252" xr:uid="{00000000-0005-0000-0000-000024010000}"/>
    <cellStyle name="Output 2" xfId="253" xr:uid="{00000000-0005-0000-0000-000025010000}"/>
    <cellStyle name="Output 3" xfId="254" xr:uid="{00000000-0005-0000-0000-000026010000}"/>
    <cellStyle name="Output 4" xfId="255" xr:uid="{00000000-0005-0000-0000-000027010000}"/>
    <cellStyle name="Output 5" xfId="256" xr:uid="{00000000-0005-0000-0000-000028010000}"/>
    <cellStyle name="Output 6" xfId="257" xr:uid="{00000000-0005-0000-0000-000029010000}"/>
    <cellStyle name="Output Amounts" xfId="258" xr:uid="{00000000-0005-0000-0000-00002A010000}"/>
    <cellStyle name="Output Column Headings" xfId="259" xr:uid="{00000000-0005-0000-0000-00002B010000}"/>
    <cellStyle name="Output Line Items" xfId="260" xr:uid="{00000000-0005-0000-0000-00002C010000}"/>
    <cellStyle name="Output Report Heading" xfId="261" xr:uid="{00000000-0005-0000-0000-00002D010000}"/>
    <cellStyle name="Output Report Title" xfId="262" xr:uid="{00000000-0005-0000-0000-00002E010000}"/>
    <cellStyle name="Percent" xfId="1" builtinId="5"/>
    <cellStyle name="Percent 2" xfId="43" xr:uid="{00000000-0005-0000-0000-000030010000}"/>
    <cellStyle name="Percent 2 2" xfId="263" xr:uid="{00000000-0005-0000-0000-000031010000}"/>
    <cellStyle name="Percent 2 3" xfId="264" xr:uid="{00000000-0005-0000-0000-000032010000}"/>
    <cellStyle name="Percent 2 4" xfId="289" xr:uid="{00000000-0005-0000-0000-000033010000}"/>
    <cellStyle name="Percent 3" xfId="44" xr:uid="{00000000-0005-0000-0000-000034010000}"/>
    <cellStyle name="Percent 3 2" xfId="314" xr:uid="{00000000-0005-0000-0000-000035010000}"/>
    <cellStyle name="Percent 4" xfId="265" xr:uid="{00000000-0005-0000-0000-000036010000}"/>
    <cellStyle name="Percent 4 2" xfId="315" xr:uid="{00000000-0005-0000-0000-000037010000}"/>
    <cellStyle name="Percent 5" xfId="316" xr:uid="{00000000-0005-0000-0000-000038010000}"/>
    <cellStyle name="Percent 6" xfId="317" xr:uid="{00000000-0005-0000-0000-000039010000}"/>
    <cellStyle name="Percent 7" xfId="325" xr:uid="{00000000-0005-0000-0000-00003A010000}"/>
    <cellStyle name="Title 2" xfId="266" xr:uid="{00000000-0005-0000-0000-00003B010000}"/>
    <cellStyle name="Title 3" xfId="267" xr:uid="{00000000-0005-0000-0000-00003C010000}"/>
    <cellStyle name="Title 4" xfId="268" xr:uid="{00000000-0005-0000-0000-00003D010000}"/>
    <cellStyle name="Title 5" xfId="269" xr:uid="{00000000-0005-0000-0000-00003E010000}"/>
    <cellStyle name="Title 6" xfId="270" xr:uid="{00000000-0005-0000-0000-00003F010000}"/>
    <cellStyle name="Total 2" xfId="271" xr:uid="{00000000-0005-0000-0000-000040010000}"/>
    <cellStyle name="Total 3" xfId="272" xr:uid="{00000000-0005-0000-0000-000041010000}"/>
    <cellStyle name="Total 4" xfId="273" xr:uid="{00000000-0005-0000-0000-000042010000}"/>
    <cellStyle name="Total 5" xfId="274" xr:uid="{00000000-0005-0000-0000-000043010000}"/>
    <cellStyle name="Total 6" xfId="275" xr:uid="{00000000-0005-0000-0000-000044010000}"/>
    <cellStyle name="Warning Text 2" xfId="276" xr:uid="{00000000-0005-0000-0000-000045010000}"/>
    <cellStyle name="Warning Text 3" xfId="277" xr:uid="{00000000-0005-0000-0000-000046010000}"/>
    <cellStyle name="Warning Text 4" xfId="278" xr:uid="{00000000-0005-0000-0000-000047010000}"/>
    <cellStyle name="Warning Text 5" xfId="279" xr:uid="{00000000-0005-0000-0000-000048010000}"/>
    <cellStyle name="Warning Text 6" xfId="280" xr:uid="{00000000-0005-0000-0000-000049010000}"/>
  </cellStyles>
  <dxfs count="3">
    <dxf>
      <font>
        <condense val="0"/>
        <extend val="0"/>
        <color rgb="FF9C0006"/>
      </font>
      <fill>
        <patternFill>
          <bgColor rgb="FFFFC7CE"/>
        </patternFill>
      </fill>
    </dxf>
    <dxf>
      <fill>
        <patternFill>
          <bgColor theme="9" tint="0.59996337778862885"/>
        </patternFill>
      </fill>
    </dxf>
    <dxf>
      <font>
        <condense val="0"/>
        <extend val="0"/>
        <color rgb="FF9C0006"/>
      </font>
      <fill>
        <patternFill>
          <bgColor rgb="FFFFC7CE"/>
        </patternFill>
      </fill>
    </dxf>
  </dxfs>
  <tableStyles count="0" defaultTableStyle="TableStyleMedium9" defaultPivotStyle="PivotStyleLight16"/>
  <colors>
    <mruColors>
      <color rgb="FF6EBBD0"/>
      <color rgb="FF5AB2CA"/>
      <color rgb="FF3593A9"/>
      <color rgb="FF2F7E91"/>
      <color rgb="FFFFFFCC"/>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APPS\Hysoft\Finance\Bud0203\Hyperion%20reports\QFR%20Repor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jcc\aocdata\Budget%20Services\19-20%20Budget%20Services\Workload%20Formula\2019-20%20and%202018-19_7A_WF_analysi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Simpson/Application%20Data/Microsoft/Excel/1%25%20cap%20reduction/1%25%20calculation%20for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Finance\BUDGET\Users\Peralta\TC-145\TC-145-2009-01-Final-unprotected1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cc\aocdata\EOP\OCR\Research%20&amp;%20Analysis\Workload\Staff\RAS%20Model%20Updates\Reassess%20model%20parameters\Finance%20dollar%20conversion\RAS%20I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jcc\aocdata\Finance\BUDGET\Users\Simpson\Revenue\FY%202013-14%20TCTF%20Projections\2013TCTF%20Revenue%20Projection_06DecColl%202014021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cc\aocdata\Finance\BUDGET\BDTSU\Annual%20Report%20to%20Legislature\FY%202008-09\Allocation%20Report\KP-AllocationsReimb-MOD-FY2008-Nov1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jcc\aocdata\Finance\BUDGET\Users\Simpson\Funding%20Models\5%20year%20Special%20Funds%20funding%20detai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Finance\BUDGET\BDTSU\Revenue\10Rs\TCTF\FY%2009-10\TCTF%20May%20Revise%20Final_042309.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jleibowitz/Local%20Settings/Temporary%20Internet%20Files/OLK178/TC-145%20effective%20Jan%201%2009_JLP%20010709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QFR Quarter by Quarter"/>
      <sheetName val="QFR Year by Year"/>
      <sheetName val="QFR Report Year to Year"/>
      <sheetName val="QFR by court and accounts"/>
      <sheetName val="State vs. Total Revenue"/>
      <sheetName val="QFR by Account, court, quarters"/>
      <sheetName val="Judges S&amp;B"/>
      <sheetName val="QFR Interpreters by court"/>
      <sheetName val="QFR Indirect Costs by court "/>
      <sheetName val="QFR Total Exp by court"/>
      <sheetName val="Security"/>
      <sheetName val="Salaries &amp; Benefits"/>
      <sheetName val="Benefit by court "/>
      <sheetName val="Salaries by court"/>
      <sheetName val="Salaries &amp; Benefit by court"/>
      <sheetName val="1H WAFM Funding Need"/>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FM Need"/>
      <sheetName val="Sheet4"/>
      <sheetName val="P10"/>
      <sheetName val="P90"/>
    </sheetNames>
    <sheetDataSet>
      <sheetData sheetId="0"/>
      <sheetData sheetId="1">
        <row r="5">
          <cell r="B5">
            <v>1</v>
          </cell>
        </row>
        <row r="6">
          <cell r="B6">
            <v>0.99999999999999989</v>
          </cell>
        </row>
        <row r="7">
          <cell r="B7">
            <v>1</v>
          </cell>
        </row>
        <row r="8">
          <cell r="B8">
            <v>0.99999999999999989</v>
          </cell>
        </row>
        <row r="9">
          <cell r="B9">
            <v>1</v>
          </cell>
        </row>
        <row r="10">
          <cell r="B10">
            <v>0.99999999999999989</v>
          </cell>
        </row>
        <row r="11">
          <cell r="B11">
            <v>1</v>
          </cell>
        </row>
        <row r="12">
          <cell r="B12">
            <v>1</v>
          </cell>
        </row>
        <row r="13">
          <cell r="B13">
            <v>1</v>
          </cell>
        </row>
        <row r="14">
          <cell r="B14">
            <v>1</v>
          </cell>
        </row>
        <row r="15">
          <cell r="B15">
            <v>1</v>
          </cell>
        </row>
        <row r="16">
          <cell r="B16">
            <v>1</v>
          </cell>
        </row>
        <row r="17">
          <cell r="B17">
            <v>1</v>
          </cell>
        </row>
        <row r="18">
          <cell r="B18">
            <v>1</v>
          </cell>
        </row>
        <row r="19">
          <cell r="B19">
            <v>1</v>
          </cell>
        </row>
        <row r="20">
          <cell r="B20">
            <v>1</v>
          </cell>
        </row>
        <row r="21">
          <cell r="B21">
            <v>1</v>
          </cell>
        </row>
        <row r="22">
          <cell r="B22">
            <v>0.75</v>
          </cell>
        </row>
        <row r="23">
          <cell r="B23">
            <v>1</v>
          </cell>
        </row>
        <row r="24">
          <cell r="B24">
            <v>1</v>
          </cell>
        </row>
        <row r="25">
          <cell r="B25">
            <v>1</v>
          </cell>
        </row>
        <row r="26">
          <cell r="B26">
            <v>1</v>
          </cell>
        </row>
        <row r="27">
          <cell r="B27">
            <v>0.75</v>
          </cell>
        </row>
        <row r="28">
          <cell r="B28">
            <v>1</v>
          </cell>
        </row>
        <row r="29">
          <cell r="B29">
            <v>1</v>
          </cell>
        </row>
        <row r="30">
          <cell r="B30">
            <v>1</v>
          </cell>
        </row>
        <row r="31">
          <cell r="B31">
            <v>1</v>
          </cell>
        </row>
        <row r="32">
          <cell r="B32">
            <v>1</v>
          </cell>
        </row>
        <row r="33">
          <cell r="B33">
            <v>1</v>
          </cell>
        </row>
        <row r="34">
          <cell r="B34">
            <v>1</v>
          </cell>
        </row>
        <row r="35">
          <cell r="B35">
            <v>1</v>
          </cell>
        </row>
        <row r="36">
          <cell r="B36">
            <v>1</v>
          </cell>
        </row>
        <row r="37">
          <cell r="B37">
            <v>1</v>
          </cell>
        </row>
        <row r="38">
          <cell r="B38">
            <v>1</v>
          </cell>
        </row>
        <row r="39">
          <cell r="B39">
            <v>1</v>
          </cell>
        </row>
        <row r="40">
          <cell r="B40">
            <v>1</v>
          </cell>
        </row>
        <row r="41">
          <cell r="B41">
            <v>1</v>
          </cell>
        </row>
        <row r="42">
          <cell r="B42">
            <v>1</v>
          </cell>
        </row>
        <row r="43">
          <cell r="B43">
            <v>1</v>
          </cell>
        </row>
        <row r="44">
          <cell r="B44">
            <v>1</v>
          </cell>
        </row>
        <row r="45">
          <cell r="B45">
            <v>1</v>
          </cell>
        </row>
        <row r="46">
          <cell r="B46">
            <v>1</v>
          </cell>
        </row>
        <row r="47">
          <cell r="B47">
            <v>1</v>
          </cell>
        </row>
        <row r="48">
          <cell r="B48">
            <v>1</v>
          </cell>
        </row>
        <row r="49">
          <cell r="B49">
            <v>2</v>
          </cell>
        </row>
        <row r="50">
          <cell r="B50">
            <v>1</v>
          </cell>
        </row>
        <row r="51">
          <cell r="B51">
            <v>1</v>
          </cell>
        </row>
        <row r="52">
          <cell r="B52">
            <v>1</v>
          </cell>
        </row>
        <row r="53">
          <cell r="B53">
            <v>1</v>
          </cell>
        </row>
        <row r="54">
          <cell r="B54">
            <v>1</v>
          </cell>
        </row>
        <row r="55">
          <cell r="B55">
            <v>1</v>
          </cell>
        </row>
        <row r="56">
          <cell r="B56">
            <v>1</v>
          </cell>
        </row>
        <row r="57">
          <cell r="B57">
            <v>1</v>
          </cell>
        </row>
        <row r="58">
          <cell r="B58">
            <v>1</v>
          </cell>
        </row>
        <row r="59">
          <cell r="B59">
            <v>1</v>
          </cell>
        </row>
        <row r="60">
          <cell r="B60">
            <v>1</v>
          </cell>
        </row>
        <row r="61">
          <cell r="B61">
            <v>1</v>
          </cell>
        </row>
        <row r="62">
          <cell r="B62">
            <v>1</v>
          </cell>
        </row>
      </sheetData>
      <sheetData sheetId="2">
        <row r="9">
          <cell r="H9">
            <v>517</v>
          </cell>
        </row>
      </sheetData>
      <sheetData sheetId="3">
        <row r="9">
          <cell r="H9">
            <v>74.5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 1% Calculation"/>
      <sheetName val="B1- Restricted Rev Detail"/>
      <sheetName val="B2 - Restricted Rev Description"/>
      <sheetName val="1% Calc Sample other"/>
      <sheetName val="Combo Box"/>
    </sheetNames>
    <sheetDataSet>
      <sheetData sheetId="0" refreshError="1"/>
      <sheetData sheetId="1">
        <row r="33">
          <cell r="D33">
            <v>0</v>
          </cell>
        </row>
      </sheetData>
      <sheetData sheetId="2" refreshError="1"/>
      <sheetData sheetId="3" refreshError="1"/>
      <sheetData sheetId="4">
        <row r="2">
          <cell r="A2" t="str">
            <v>General Fund -- TCTF</v>
          </cell>
          <cell r="B2" t="str">
            <v>Please select your court from the list</v>
          </cell>
          <cell r="C2" t="str">
            <v>Please select the fiscal year from the list</v>
          </cell>
          <cell r="D2" t="str">
            <v>B&amp;P 470.5</v>
          </cell>
        </row>
        <row r="3">
          <cell r="A3" t="str">
            <v>General Fund -- Non-TCTF</v>
          </cell>
          <cell r="B3" t="str">
            <v>Superior Court - Alameda</v>
          </cell>
          <cell r="C3" t="str">
            <v>as of June 30, 2014</v>
          </cell>
          <cell r="D3" t="str">
            <v>CCP 116.230</v>
          </cell>
        </row>
        <row r="4">
          <cell r="A4" t="str">
            <v>Special Revenue Non-Grant</v>
          </cell>
          <cell r="B4" t="str">
            <v>Superior Court - Alpine</v>
          </cell>
          <cell r="C4" t="str">
            <v>as of June 30, 2015</v>
          </cell>
          <cell r="D4" t="str">
            <v>GC 13963(f)</v>
          </cell>
        </row>
        <row r="5">
          <cell r="A5" t="str">
            <v>Capital Project</v>
          </cell>
          <cell r="B5" t="str">
            <v>Superior Court - Amador</v>
          </cell>
          <cell r="C5" t="str">
            <v>as of June 30, 2016</v>
          </cell>
          <cell r="D5" t="str">
            <v>GC 26731</v>
          </cell>
        </row>
        <row r="6">
          <cell r="B6" t="str">
            <v>Superior Court - Butte</v>
          </cell>
          <cell r="C6" t="str">
            <v>as of June 30, 2017</v>
          </cell>
          <cell r="D6" t="str">
            <v>GC 26863</v>
          </cell>
        </row>
        <row r="7">
          <cell r="B7" t="str">
            <v>Superior Court - Calaveras</v>
          </cell>
          <cell r="C7" t="str">
            <v>as of June 30, 2018</v>
          </cell>
          <cell r="D7" t="str">
            <v>GC 27361.4</v>
          </cell>
        </row>
        <row r="8">
          <cell r="B8" t="str">
            <v>Superior Court - Colusa</v>
          </cell>
          <cell r="C8" t="str">
            <v>as of June 30, 2019</v>
          </cell>
          <cell r="D8" t="str">
            <v>GC 66006</v>
          </cell>
        </row>
        <row r="9">
          <cell r="B9" t="str">
            <v>Superior Court - Contra Costa</v>
          </cell>
          <cell r="C9" t="str">
            <v>as of June 30, 2020</v>
          </cell>
          <cell r="D9" t="str">
            <v>GC 68090.8</v>
          </cell>
        </row>
        <row r="10">
          <cell r="B10" t="str">
            <v>Superior Court - Del Norte</v>
          </cell>
          <cell r="D10" t="str">
            <v>GC 70640</v>
          </cell>
        </row>
        <row r="11">
          <cell r="B11" t="str">
            <v>Superior Court - El Dorado</v>
          </cell>
          <cell r="D11" t="str">
            <v>GC 70678</v>
          </cell>
        </row>
        <row r="12">
          <cell r="B12" t="str">
            <v>Superior Court - Fresno</v>
          </cell>
          <cell r="D12" t="str">
            <v>GC 76223</v>
          </cell>
        </row>
        <row r="13">
          <cell r="B13" t="str">
            <v>Superior Court - Glenn</v>
          </cell>
          <cell r="D13" t="str">
            <v>GC 77207.5(b)</v>
          </cell>
        </row>
        <row r="14">
          <cell r="B14" t="str">
            <v>Superior Court - Humboldt</v>
          </cell>
          <cell r="D14" t="str">
            <v>GC 77209(h)</v>
          </cell>
        </row>
        <row r="15">
          <cell r="B15" t="str">
            <v>Superior Court - Imperial</v>
          </cell>
          <cell r="D15" t="str">
            <v>Penal Code 1027</v>
          </cell>
        </row>
        <row r="16">
          <cell r="B16" t="str">
            <v>Superior Court - Inyo</v>
          </cell>
          <cell r="D16" t="str">
            <v>Penal Code 1463.007</v>
          </cell>
        </row>
        <row r="17">
          <cell r="B17" t="str">
            <v>Superior Court - Kern</v>
          </cell>
          <cell r="D17" t="str">
            <v>Penal Code 1463.22(a)</v>
          </cell>
        </row>
        <row r="18">
          <cell r="B18" t="str">
            <v>Superior Court - Kings</v>
          </cell>
          <cell r="D18" t="str">
            <v>Penal Code 4750</v>
          </cell>
        </row>
        <row r="19">
          <cell r="B19" t="str">
            <v>Superior Court - Lake</v>
          </cell>
          <cell r="D19" t="str">
            <v>Penal Code 6005</v>
          </cell>
        </row>
        <row r="20">
          <cell r="B20" t="str">
            <v>Superior Court - Lassen</v>
          </cell>
          <cell r="D20" t="str">
            <v>VC 11205.2</v>
          </cell>
        </row>
        <row r="21">
          <cell r="B21" t="str">
            <v>Superior Court - Los Angeles</v>
          </cell>
          <cell r="D21" t="str">
            <v>VC 40508.6</v>
          </cell>
        </row>
        <row r="22">
          <cell r="B22" t="str">
            <v>Superior Court - Madera</v>
          </cell>
        </row>
        <row r="23">
          <cell r="B23" t="str">
            <v>Superior Court - Marin</v>
          </cell>
        </row>
        <row r="24">
          <cell r="B24" t="str">
            <v>Superior Court - Mariposa</v>
          </cell>
        </row>
        <row r="25">
          <cell r="B25" t="str">
            <v>Superior Court - Mendocino</v>
          </cell>
        </row>
        <row r="26">
          <cell r="B26" t="str">
            <v>Superior Court - Merced</v>
          </cell>
        </row>
        <row r="27">
          <cell r="B27" t="str">
            <v>Superior Court - Modoc</v>
          </cell>
        </row>
        <row r="28">
          <cell r="B28" t="str">
            <v>Superior Court - Mono</v>
          </cell>
        </row>
        <row r="29">
          <cell r="B29" t="str">
            <v>Superior Court - Monterey</v>
          </cell>
        </row>
        <row r="30">
          <cell r="B30" t="str">
            <v>Superior Court - Napa</v>
          </cell>
        </row>
        <row r="31">
          <cell r="B31" t="str">
            <v>Superior Court - Nevada</v>
          </cell>
        </row>
        <row r="32">
          <cell r="B32" t="str">
            <v>Superior Court - Orange</v>
          </cell>
        </row>
        <row r="33">
          <cell r="B33" t="str">
            <v>Superior Court - Placer</v>
          </cell>
        </row>
        <row r="34">
          <cell r="B34" t="str">
            <v>Superior Court - Plumas</v>
          </cell>
        </row>
        <row r="35">
          <cell r="B35" t="str">
            <v>Superior Court - Riverside</v>
          </cell>
        </row>
        <row r="36">
          <cell r="B36" t="str">
            <v>Superior Court - Sacramento</v>
          </cell>
        </row>
        <row r="37">
          <cell r="B37" t="str">
            <v>Superior Court - San Benito</v>
          </cell>
        </row>
        <row r="38">
          <cell r="B38" t="str">
            <v>Superior Court - San Bernardino</v>
          </cell>
        </row>
        <row r="39">
          <cell r="B39" t="str">
            <v>Superior Court - San Diego</v>
          </cell>
        </row>
        <row r="40">
          <cell r="B40" t="str">
            <v>Superior Court - San Francisco</v>
          </cell>
        </row>
        <row r="41">
          <cell r="B41" t="str">
            <v>Superior Court - San Joaquin</v>
          </cell>
        </row>
        <row r="42">
          <cell r="B42" t="str">
            <v>Superior Court - San Luis Obispo</v>
          </cell>
        </row>
        <row r="43">
          <cell r="B43" t="str">
            <v>Superior Court - San Mateo</v>
          </cell>
        </row>
        <row r="44">
          <cell r="B44" t="str">
            <v>Superior Court - Santa Barbara</v>
          </cell>
        </row>
        <row r="45">
          <cell r="B45" t="str">
            <v>Superior Court - Santa Clara</v>
          </cell>
        </row>
        <row r="46">
          <cell r="B46" t="str">
            <v>Superior Court - Santa Cruz</v>
          </cell>
        </row>
        <row r="47">
          <cell r="B47" t="str">
            <v>Superior Court - Shasta</v>
          </cell>
        </row>
        <row r="48">
          <cell r="B48" t="str">
            <v>Superior Court - Sierra</v>
          </cell>
        </row>
        <row r="49">
          <cell r="B49" t="str">
            <v>Superior Court - Siskiyou</v>
          </cell>
        </row>
        <row r="50">
          <cell r="B50" t="str">
            <v>Superior Court - Solano</v>
          </cell>
        </row>
        <row r="51">
          <cell r="B51" t="str">
            <v>Superior Court - Sonoma</v>
          </cell>
        </row>
        <row r="52">
          <cell r="B52" t="str">
            <v>Superior Court - Stanislaus</v>
          </cell>
        </row>
        <row r="53">
          <cell r="B53" t="str">
            <v>Superior Court - Sutter</v>
          </cell>
        </row>
        <row r="54">
          <cell r="B54" t="str">
            <v>Superior Court - Tehama</v>
          </cell>
        </row>
        <row r="55">
          <cell r="B55" t="str">
            <v>Superior Court - Trinity</v>
          </cell>
        </row>
        <row r="56">
          <cell r="B56" t="str">
            <v>Superior Court - Tulare</v>
          </cell>
        </row>
        <row r="57">
          <cell r="B57" t="str">
            <v>Superior Court - Tuolumne</v>
          </cell>
        </row>
        <row r="58">
          <cell r="B58" t="str">
            <v>Superior Court - Ventura</v>
          </cell>
        </row>
        <row r="59">
          <cell r="B59" t="str">
            <v>Superior Court - Yolo</v>
          </cell>
        </row>
        <row r="60">
          <cell r="B60" t="str">
            <v>Superior Court - Yuba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port Template Example"/>
      <sheetName val="Report Template Instructions"/>
      <sheetName val="Report Template"/>
      <sheetName val="Schedule D Instructions"/>
      <sheetName val="Schedule D"/>
      <sheetName val="Schedule F Instructions"/>
      <sheetName val="Schedule F"/>
      <sheetName val="Certification"/>
      <sheetName val="Code"/>
    </sheetNames>
    <sheetDataSet>
      <sheetData sheetId="0"/>
      <sheetData sheetId="1"/>
      <sheetData sheetId="2"/>
      <sheetData sheetId="3">
        <row r="7">
          <cell r="A7">
            <v>1</v>
          </cell>
        </row>
      </sheetData>
      <sheetData sheetId="4"/>
      <sheetData sheetId="5"/>
      <sheetData sheetId="6"/>
      <sheetData sheetId="7"/>
      <sheetData sheetId="8"/>
      <sheetData sheetId="9">
        <row r="1">
          <cell r="B1" t="str">
            <v>PICK YOUR COURT FROM THIS LIST</v>
          </cell>
        </row>
        <row r="2">
          <cell r="B2" t="str">
            <v>Superior Court - Alameda</v>
          </cell>
        </row>
        <row r="3">
          <cell r="B3" t="str">
            <v>Superior Court - Alpine</v>
          </cell>
        </row>
        <row r="4">
          <cell r="B4" t="str">
            <v>Superior Court - Amador</v>
          </cell>
        </row>
        <row r="5">
          <cell r="B5" t="str">
            <v>Superior Court - Butte</v>
          </cell>
        </row>
        <row r="6">
          <cell r="B6" t="str">
            <v>Superior Court - Calaveras</v>
          </cell>
        </row>
        <row r="7">
          <cell r="B7" t="str">
            <v>Superior Court - Colusa</v>
          </cell>
        </row>
        <row r="8">
          <cell r="B8" t="str">
            <v>Superior Court - Contra Costa</v>
          </cell>
        </row>
        <row r="9">
          <cell r="B9" t="str">
            <v>Superior Court - Del Norte</v>
          </cell>
        </row>
        <row r="10">
          <cell r="B10" t="str">
            <v>Superior Court - El Dorado</v>
          </cell>
        </row>
        <row r="11">
          <cell r="B11" t="str">
            <v>Superior Court - Fresno</v>
          </cell>
        </row>
        <row r="12">
          <cell r="B12" t="str">
            <v>Superior Court - Glenn</v>
          </cell>
        </row>
        <row r="13">
          <cell r="B13" t="str">
            <v>Superior Court - Humboldt</v>
          </cell>
        </row>
        <row r="14">
          <cell r="B14" t="str">
            <v>Superior Court - Imperial</v>
          </cell>
        </row>
        <row r="15">
          <cell r="B15" t="str">
            <v>Superior Court - Inyo</v>
          </cell>
        </row>
        <row r="16">
          <cell r="B16" t="str">
            <v>Superior Court - Kern</v>
          </cell>
        </row>
        <row r="17">
          <cell r="B17" t="str">
            <v>Superior Court - Kings</v>
          </cell>
        </row>
        <row r="18">
          <cell r="B18" t="str">
            <v>Superior Court - Lake</v>
          </cell>
        </row>
        <row r="19">
          <cell r="B19" t="str">
            <v>Superior Court - Lassen</v>
          </cell>
        </row>
        <row r="20">
          <cell r="B20" t="str">
            <v>Superior Court - Los Angeles</v>
          </cell>
        </row>
        <row r="21">
          <cell r="B21" t="str">
            <v>Superior Court - Madera</v>
          </cell>
        </row>
        <row r="22">
          <cell r="B22" t="str">
            <v>Superior Court - Marin</v>
          </cell>
        </row>
        <row r="23">
          <cell r="B23" t="str">
            <v>Superior Court - Mariposa</v>
          </cell>
        </row>
        <row r="24">
          <cell r="B24" t="str">
            <v>Superior Court - Mendocino</v>
          </cell>
        </row>
        <row r="25">
          <cell r="B25" t="str">
            <v>Superior Court - Merced</v>
          </cell>
        </row>
        <row r="26">
          <cell r="B26" t="str">
            <v>Superior Court - Modoc</v>
          </cell>
        </row>
        <row r="27">
          <cell r="B27" t="str">
            <v>Superior Court - Mono</v>
          </cell>
        </row>
        <row r="28">
          <cell r="B28" t="str">
            <v>Superior Court - Monterey</v>
          </cell>
        </row>
        <row r="29">
          <cell r="B29" t="str">
            <v>Superior Court - Napa</v>
          </cell>
        </row>
        <row r="30">
          <cell r="B30" t="str">
            <v>Superior Court - Nevada</v>
          </cell>
        </row>
        <row r="31">
          <cell r="B31" t="str">
            <v>Superior Court - Orange</v>
          </cell>
        </row>
        <row r="32">
          <cell r="B32" t="str">
            <v>Superior Court - Placer</v>
          </cell>
        </row>
        <row r="33">
          <cell r="B33" t="str">
            <v>Superior Court - Plumas</v>
          </cell>
        </row>
        <row r="34">
          <cell r="B34" t="str">
            <v>Superior Court - Riverside</v>
          </cell>
        </row>
        <row r="35">
          <cell r="B35" t="str">
            <v>Superior Court - Sacramento</v>
          </cell>
        </row>
        <row r="36">
          <cell r="B36" t="str">
            <v>Superior Court - San Benito</v>
          </cell>
        </row>
        <row r="37">
          <cell r="B37" t="str">
            <v>Superior Court - San Bernardino</v>
          </cell>
        </row>
        <row r="38">
          <cell r="B38" t="str">
            <v>Superior Court - San Diego</v>
          </cell>
        </row>
        <row r="39">
          <cell r="B39" t="str">
            <v>Superior Court - San Francisco</v>
          </cell>
        </row>
        <row r="40">
          <cell r="B40" t="str">
            <v>Superior Court - San Joaquin</v>
          </cell>
        </row>
        <row r="41">
          <cell r="B41" t="str">
            <v>Superior Court - San Luis Obispo</v>
          </cell>
        </row>
        <row r="42">
          <cell r="B42" t="str">
            <v>Superior Court - San Mateo</v>
          </cell>
        </row>
        <row r="43">
          <cell r="B43" t="str">
            <v>Superior Court - Santa Barbara</v>
          </cell>
        </row>
        <row r="44">
          <cell r="B44" t="str">
            <v>Superior Court - Santa Clara</v>
          </cell>
        </row>
        <row r="45">
          <cell r="B45" t="str">
            <v>Superior Court - Santa Cruz</v>
          </cell>
        </row>
        <row r="46">
          <cell r="B46" t="str">
            <v>Superior Court - Shasta</v>
          </cell>
        </row>
        <row r="47">
          <cell r="B47" t="str">
            <v>Superior Court - Sierra</v>
          </cell>
        </row>
        <row r="48">
          <cell r="B48" t="str">
            <v>Superior Court - Siskiyou</v>
          </cell>
        </row>
        <row r="49">
          <cell r="B49" t="str">
            <v>Superior Court - Solano</v>
          </cell>
        </row>
        <row r="50">
          <cell r="B50" t="str">
            <v>Superior Court - Sonoma</v>
          </cell>
        </row>
        <row r="51">
          <cell r="B51" t="str">
            <v>Superior Court - Stanislaus</v>
          </cell>
        </row>
        <row r="52">
          <cell r="B52" t="str">
            <v>Superior Court - Sutter</v>
          </cell>
        </row>
        <row r="53">
          <cell r="B53" t="str">
            <v>Superior Court - Tehama</v>
          </cell>
        </row>
        <row r="54">
          <cell r="B54" t="str">
            <v>Superior Court - Trinity</v>
          </cell>
        </row>
        <row r="55">
          <cell r="B55" t="str">
            <v>Superior Court - Tulare</v>
          </cell>
        </row>
        <row r="56">
          <cell r="B56" t="str">
            <v>Superior Court - Tuolumne</v>
          </cell>
        </row>
        <row r="57">
          <cell r="B57" t="str">
            <v>Superior Court - Ventura</v>
          </cell>
        </row>
        <row r="58">
          <cell r="B58" t="str">
            <v>Superior Court - Yolo</v>
          </cell>
        </row>
        <row r="59">
          <cell r="B59" t="str">
            <v>Superior Court - Yuba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1"/>
      <sheetName val="TCTF"/>
      <sheetName val="All funding sources"/>
      <sheetName val="OEE"/>
      <sheetName val="expenditure"/>
    </sheetNames>
    <sheetDataSet>
      <sheetData sheetId="0"/>
      <sheetData sheetId="1"/>
      <sheetData sheetId="2"/>
      <sheetData sheetId="3">
        <row r="4">
          <cell r="B4">
            <v>1</v>
          </cell>
          <cell r="C4">
            <v>36933</v>
          </cell>
        </row>
        <row r="5">
          <cell r="B5">
            <v>2</v>
          </cell>
          <cell r="C5">
            <v>21861</v>
          </cell>
        </row>
        <row r="6">
          <cell r="B6">
            <v>3</v>
          </cell>
          <cell r="C6">
            <v>20343</v>
          </cell>
        </row>
        <row r="7">
          <cell r="B7">
            <v>4</v>
          </cell>
          <cell r="C7">
            <v>17454</v>
          </cell>
        </row>
        <row r="12">
          <cell r="B12">
            <v>1</v>
          </cell>
          <cell r="C12">
            <v>40042</v>
          </cell>
        </row>
        <row r="13">
          <cell r="B13">
            <v>2</v>
          </cell>
          <cell r="C13">
            <v>24970</v>
          </cell>
        </row>
        <row r="14">
          <cell r="B14">
            <v>3</v>
          </cell>
          <cell r="C14">
            <v>23452</v>
          </cell>
        </row>
        <row r="15">
          <cell r="B15">
            <v>4</v>
          </cell>
          <cell r="C15">
            <v>20564</v>
          </cell>
        </row>
        <row r="45">
          <cell r="B45">
            <v>1</v>
          </cell>
          <cell r="C45">
            <v>43150</v>
          </cell>
        </row>
        <row r="46">
          <cell r="B46">
            <v>2</v>
          </cell>
          <cell r="C46">
            <v>27437</v>
          </cell>
        </row>
        <row r="47">
          <cell r="B47">
            <v>3</v>
          </cell>
          <cell r="C47">
            <v>28228</v>
          </cell>
        </row>
        <row r="48">
          <cell r="B48">
            <v>4</v>
          </cell>
          <cell r="C48">
            <v>25404</v>
          </cell>
        </row>
      </sheetData>
      <sheetData sheetId="4">
        <row r="5">
          <cell r="A5" t="str">
            <v>Alameda</v>
          </cell>
          <cell r="B5">
            <v>74556770</v>
          </cell>
          <cell r="C5">
            <v>16350926</v>
          </cell>
          <cell r="D5">
            <v>90907696</v>
          </cell>
          <cell r="E5">
            <v>76241396</v>
          </cell>
          <cell r="F5">
            <v>17154800</v>
          </cell>
          <cell r="G5">
            <v>93396196</v>
          </cell>
        </row>
        <row r="6">
          <cell r="A6" t="str">
            <v>Alpine</v>
          </cell>
          <cell r="B6">
            <v>290174</v>
          </cell>
          <cell r="C6">
            <v>207360</v>
          </cell>
          <cell r="D6">
            <v>497534</v>
          </cell>
          <cell r="E6">
            <v>290174</v>
          </cell>
          <cell r="F6">
            <v>216036</v>
          </cell>
          <cell r="G6">
            <v>506210</v>
          </cell>
        </row>
        <row r="7">
          <cell r="A7" t="str">
            <v>Amador</v>
          </cell>
          <cell r="B7">
            <v>2204121</v>
          </cell>
          <cell r="C7">
            <v>605212</v>
          </cell>
          <cell r="D7">
            <v>2809333</v>
          </cell>
          <cell r="E7">
            <v>2239416</v>
          </cell>
          <cell r="F7">
            <v>617967</v>
          </cell>
          <cell r="G7">
            <v>2857382</v>
          </cell>
        </row>
        <row r="8">
          <cell r="A8" t="str">
            <v>Butte</v>
          </cell>
          <cell r="B8">
            <v>8011539</v>
          </cell>
          <cell r="C8">
            <v>2688135</v>
          </cell>
          <cell r="D8">
            <v>10699674</v>
          </cell>
          <cell r="E8">
            <v>8474711</v>
          </cell>
          <cell r="F8">
            <v>2791561</v>
          </cell>
          <cell r="G8">
            <v>11266272</v>
          </cell>
        </row>
        <row r="9">
          <cell r="A9" t="str">
            <v>Calaveras</v>
          </cell>
          <cell r="B9">
            <v>2020542</v>
          </cell>
          <cell r="C9">
            <v>688788</v>
          </cell>
          <cell r="D9">
            <v>2709330</v>
          </cell>
          <cell r="E9">
            <v>2190802</v>
          </cell>
          <cell r="F9">
            <v>798754</v>
          </cell>
          <cell r="G9">
            <v>2989556</v>
          </cell>
        </row>
        <row r="10">
          <cell r="A10" t="str">
            <v>Colusa</v>
          </cell>
          <cell r="B10">
            <v>1117307</v>
          </cell>
          <cell r="C10">
            <v>775979</v>
          </cell>
          <cell r="D10">
            <v>1893285</v>
          </cell>
          <cell r="E10">
            <v>1117307</v>
          </cell>
          <cell r="F10">
            <v>775979</v>
          </cell>
          <cell r="G10">
            <v>1893285</v>
          </cell>
        </row>
        <row r="11">
          <cell r="A11" t="str">
            <v>Contra Costa</v>
          </cell>
          <cell r="B11">
            <v>38028992</v>
          </cell>
          <cell r="C11">
            <v>12120556</v>
          </cell>
          <cell r="D11">
            <v>50149548</v>
          </cell>
          <cell r="E11">
            <v>38683228</v>
          </cell>
          <cell r="F11">
            <v>14772859</v>
          </cell>
          <cell r="G11">
            <v>53456087</v>
          </cell>
        </row>
        <row r="12">
          <cell r="A12" t="str">
            <v>Del Norte</v>
          </cell>
          <cell r="B12">
            <v>2234213</v>
          </cell>
          <cell r="C12">
            <v>921063</v>
          </cell>
          <cell r="D12">
            <v>3155276</v>
          </cell>
          <cell r="E12">
            <v>2234213</v>
          </cell>
          <cell r="F12">
            <v>1081331</v>
          </cell>
          <cell r="G12">
            <v>3315543</v>
          </cell>
        </row>
        <row r="13">
          <cell r="A13" t="str">
            <v>El Dorado</v>
          </cell>
          <cell r="B13">
            <v>6757143</v>
          </cell>
          <cell r="C13">
            <v>2038210</v>
          </cell>
          <cell r="D13">
            <v>8795353</v>
          </cell>
          <cell r="E13">
            <v>6829411</v>
          </cell>
          <cell r="F13">
            <v>2105499</v>
          </cell>
          <cell r="G13">
            <v>8934910</v>
          </cell>
        </row>
        <row r="14">
          <cell r="A14" t="str">
            <v>Fresno</v>
          </cell>
          <cell r="B14">
            <v>44438174</v>
          </cell>
          <cell r="C14">
            <v>13462072</v>
          </cell>
          <cell r="D14">
            <v>57900246</v>
          </cell>
          <cell r="E14">
            <v>44697488</v>
          </cell>
          <cell r="F14">
            <v>18174883</v>
          </cell>
          <cell r="G14">
            <v>62872371</v>
          </cell>
        </row>
        <row r="15">
          <cell r="A15" t="str">
            <v>Glenn</v>
          </cell>
          <cell r="B15">
            <v>1491152</v>
          </cell>
          <cell r="C15">
            <v>875561</v>
          </cell>
          <cell r="D15">
            <v>2366713</v>
          </cell>
          <cell r="E15">
            <v>1490423</v>
          </cell>
          <cell r="F15">
            <v>875561</v>
          </cell>
          <cell r="G15">
            <v>2365983</v>
          </cell>
        </row>
        <row r="16">
          <cell r="A16" t="str">
            <v>Humboldt</v>
          </cell>
          <cell r="B16">
            <v>5270010</v>
          </cell>
          <cell r="C16">
            <v>2201860</v>
          </cell>
          <cell r="D16">
            <v>7471870</v>
          </cell>
          <cell r="E16">
            <v>5273363</v>
          </cell>
          <cell r="F16">
            <v>2200512</v>
          </cell>
          <cell r="G16">
            <v>7473875</v>
          </cell>
        </row>
        <row r="17">
          <cell r="A17" t="str">
            <v>Imperial</v>
          </cell>
          <cell r="B17">
            <v>7216528</v>
          </cell>
          <cell r="C17">
            <v>3435981</v>
          </cell>
          <cell r="D17">
            <v>10652509</v>
          </cell>
          <cell r="E17">
            <v>7916528</v>
          </cell>
          <cell r="F17">
            <v>4300808</v>
          </cell>
          <cell r="G17">
            <v>12217336</v>
          </cell>
        </row>
        <row r="18">
          <cell r="A18" t="str">
            <v>Inyo</v>
          </cell>
          <cell r="B18">
            <v>1451356</v>
          </cell>
          <cell r="C18">
            <v>999896</v>
          </cell>
          <cell r="D18">
            <v>2451252</v>
          </cell>
          <cell r="E18">
            <v>1572150</v>
          </cell>
          <cell r="F18">
            <v>1004385</v>
          </cell>
          <cell r="G18">
            <v>2576535</v>
          </cell>
        </row>
        <row r="19">
          <cell r="A19" t="str">
            <v>Kern</v>
          </cell>
          <cell r="B19">
            <v>39245165</v>
          </cell>
          <cell r="C19">
            <v>7500791</v>
          </cell>
          <cell r="D19">
            <v>46745956</v>
          </cell>
          <cell r="E19">
            <v>41907346</v>
          </cell>
          <cell r="F19">
            <v>11161780</v>
          </cell>
          <cell r="G19">
            <v>53069126</v>
          </cell>
        </row>
        <row r="20">
          <cell r="A20" t="str">
            <v>Kings</v>
          </cell>
          <cell r="B20">
            <v>5738811</v>
          </cell>
          <cell r="C20">
            <v>2531177</v>
          </cell>
          <cell r="D20">
            <v>8269989</v>
          </cell>
          <cell r="E20">
            <v>5743982</v>
          </cell>
          <cell r="F20">
            <v>2911857</v>
          </cell>
          <cell r="G20">
            <v>8655839</v>
          </cell>
        </row>
        <row r="21">
          <cell r="A21" t="str">
            <v>Lake</v>
          </cell>
          <cell r="B21">
            <v>2447547</v>
          </cell>
          <cell r="C21">
            <v>1348207</v>
          </cell>
          <cell r="D21">
            <v>3795754</v>
          </cell>
          <cell r="E21">
            <v>2448150</v>
          </cell>
          <cell r="F21">
            <v>1350696</v>
          </cell>
          <cell r="G21">
            <v>3798846</v>
          </cell>
        </row>
        <row r="22">
          <cell r="A22" t="str">
            <v>Lassen</v>
          </cell>
          <cell r="B22">
            <v>2440386</v>
          </cell>
          <cell r="C22">
            <v>648534</v>
          </cell>
          <cell r="D22">
            <v>3088921</v>
          </cell>
          <cell r="E22">
            <v>2478403</v>
          </cell>
          <cell r="F22">
            <v>866221</v>
          </cell>
          <cell r="G22">
            <v>3344624</v>
          </cell>
        </row>
        <row r="23">
          <cell r="A23" t="str">
            <v>Los Angeles</v>
          </cell>
          <cell r="B23">
            <v>533320096</v>
          </cell>
          <cell r="C23">
            <v>94076138</v>
          </cell>
          <cell r="D23">
            <v>627396234</v>
          </cell>
          <cell r="E23">
            <v>548201584</v>
          </cell>
          <cell r="F23">
            <v>105115077</v>
          </cell>
          <cell r="G23">
            <v>653316661</v>
          </cell>
        </row>
        <row r="24">
          <cell r="A24" t="str">
            <v>Madera</v>
          </cell>
          <cell r="B24">
            <v>6984463</v>
          </cell>
          <cell r="C24">
            <v>1829993</v>
          </cell>
          <cell r="D24">
            <v>8814456</v>
          </cell>
          <cell r="E24">
            <v>6984463</v>
          </cell>
          <cell r="F24">
            <v>1829993</v>
          </cell>
          <cell r="G24">
            <v>8814456</v>
          </cell>
        </row>
        <row r="25">
          <cell r="A25" t="str">
            <v>Marin</v>
          </cell>
          <cell r="B25">
            <v>12296183</v>
          </cell>
          <cell r="C25">
            <v>4348960</v>
          </cell>
          <cell r="D25">
            <v>16645143</v>
          </cell>
          <cell r="E25">
            <v>12318200</v>
          </cell>
          <cell r="F25">
            <v>4349663</v>
          </cell>
          <cell r="G25">
            <v>16667863</v>
          </cell>
        </row>
        <row r="26">
          <cell r="A26" t="str">
            <v>Mariposa</v>
          </cell>
          <cell r="B26">
            <v>792771</v>
          </cell>
          <cell r="C26">
            <v>508953</v>
          </cell>
          <cell r="D26">
            <v>1301724</v>
          </cell>
          <cell r="E26">
            <v>792771</v>
          </cell>
          <cell r="F26">
            <v>514721</v>
          </cell>
          <cell r="G26">
            <v>1307492</v>
          </cell>
        </row>
        <row r="27">
          <cell r="A27" t="str">
            <v>Mendocino</v>
          </cell>
          <cell r="B27">
            <v>5205920</v>
          </cell>
          <cell r="C27">
            <v>940891</v>
          </cell>
          <cell r="D27">
            <v>6146811</v>
          </cell>
          <cell r="E27">
            <v>5209013</v>
          </cell>
          <cell r="F27">
            <v>963936</v>
          </cell>
          <cell r="G27">
            <v>6172949</v>
          </cell>
        </row>
        <row r="28">
          <cell r="A28" t="str">
            <v>Merced</v>
          </cell>
          <cell r="B28">
            <v>9387944</v>
          </cell>
          <cell r="C28">
            <v>4310650</v>
          </cell>
          <cell r="D28">
            <v>13698594</v>
          </cell>
          <cell r="E28">
            <v>9391294</v>
          </cell>
          <cell r="F28">
            <v>4566454</v>
          </cell>
          <cell r="G28">
            <v>13957748</v>
          </cell>
        </row>
        <row r="29">
          <cell r="A29" t="str">
            <v>Modoc</v>
          </cell>
          <cell r="B29">
            <v>758375</v>
          </cell>
          <cell r="C29">
            <v>561387</v>
          </cell>
          <cell r="D29">
            <v>1319762</v>
          </cell>
          <cell r="E29">
            <v>823549</v>
          </cell>
          <cell r="F29">
            <v>569334</v>
          </cell>
          <cell r="G29">
            <v>1392883</v>
          </cell>
        </row>
        <row r="30">
          <cell r="A30" t="str">
            <v>Mono</v>
          </cell>
          <cell r="B30">
            <v>1056770</v>
          </cell>
          <cell r="C30">
            <v>724888</v>
          </cell>
          <cell r="D30">
            <v>1781659</v>
          </cell>
          <cell r="E30">
            <v>1056770</v>
          </cell>
          <cell r="F30">
            <v>726890</v>
          </cell>
          <cell r="G30">
            <v>1783661</v>
          </cell>
        </row>
        <row r="31">
          <cell r="A31" t="str">
            <v>Monterey</v>
          </cell>
          <cell r="B31">
            <v>16202406</v>
          </cell>
          <cell r="C31">
            <v>5976382</v>
          </cell>
          <cell r="D31">
            <v>22178787</v>
          </cell>
          <cell r="E31">
            <v>16427590</v>
          </cell>
          <cell r="F31">
            <v>6198033</v>
          </cell>
          <cell r="G31">
            <v>22625623</v>
          </cell>
        </row>
        <row r="32">
          <cell r="A32" t="str">
            <v>Napa</v>
          </cell>
          <cell r="B32">
            <v>7756884</v>
          </cell>
          <cell r="C32">
            <v>1423244</v>
          </cell>
          <cell r="D32">
            <v>9180128</v>
          </cell>
          <cell r="E32">
            <v>7756884</v>
          </cell>
          <cell r="F32">
            <v>1583470</v>
          </cell>
          <cell r="G32">
            <v>9340354</v>
          </cell>
        </row>
        <row r="33">
          <cell r="A33" t="str">
            <v>Nevada</v>
          </cell>
          <cell r="B33">
            <v>5112060</v>
          </cell>
          <cell r="C33">
            <v>1554144</v>
          </cell>
          <cell r="D33">
            <v>6666204</v>
          </cell>
          <cell r="E33">
            <v>5187318</v>
          </cell>
          <cell r="F33">
            <v>1834528</v>
          </cell>
          <cell r="G33">
            <v>7021846</v>
          </cell>
        </row>
        <row r="34">
          <cell r="A34" t="str">
            <v>Orange</v>
          </cell>
          <cell r="B34">
            <v>146660224</v>
          </cell>
          <cell r="C34">
            <v>37156769</v>
          </cell>
          <cell r="D34">
            <v>183816993</v>
          </cell>
          <cell r="E34">
            <v>151754036</v>
          </cell>
          <cell r="F34">
            <v>47084503</v>
          </cell>
          <cell r="G34">
            <v>198838539</v>
          </cell>
        </row>
        <row r="35">
          <cell r="A35" t="str">
            <v>Placer</v>
          </cell>
          <cell r="B35">
            <v>12463100</v>
          </cell>
          <cell r="C35">
            <v>2927110</v>
          </cell>
          <cell r="D35">
            <v>15390210</v>
          </cell>
          <cell r="E35">
            <v>12719832</v>
          </cell>
          <cell r="F35">
            <v>3058510</v>
          </cell>
          <cell r="G35">
            <v>15778341</v>
          </cell>
        </row>
        <row r="36">
          <cell r="A36" t="str">
            <v>Plumas</v>
          </cell>
          <cell r="B36">
            <v>1161223</v>
          </cell>
          <cell r="C36">
            <v>820246</v>
          </cell>
          <cell r="D36">
            <v>1981469</v>
          </cell>
          <cell r="E36">
            <v>1161223</v>
          </cell>
          <cell r="F36">
            <v>1155945</v>
          </cell>
          <cell r="G36">
            <v>2317168</v>
          </cell>
        </row>
        <row r="37">
          <cell r="A37" t="str">
            <v>Riverside</v>
          </cell>
          <cell r="B37">
            <v>88521764</v>
          </cell>
          <cell r="C37">
            <v>23012526</v>
          </cell>
          <cell r="D37">
            <v>111534290</v>
          </cell>
          <cell r="E37">
            <v>94579820</v>
          </cell>
          <cell r="F37">
            <v>29767160</v>
          </cell>
          <cell r="G37">
            <v>124346980</v>
          </cell>
        </row>
        <row r="38">
          <cell r="A38" t="str">
            <v>Sacramento</v>
          </cell>
          <cell r="B38">
            <v>71876964</v>
          </cell>
          <cell r="C38">
            <v>12335650</v>
          </cell>
          <cell r="D38">
            <v>84212614</v>
          </cell>
          <cell r="E38">
            <v>72532240</v>
          </cell>
          <cell r="F38">
            <v>13622005</v>
          </cell>
          <cell r="G38">
            <v>86154245</v>
          </cell>
        </row>
        <row r="39">
          <cell r="A39" t="str">
            <v>San Benito</v>
          </cell>
          <cell r="B39">
            <v>2414823</v>
          </cell>
          <cell r="C39">
            <v>845607</v>
          </cell>
          <cell r="D39">
            <v>3260430</v>
          </cell>
          <cell r="E39">
            <v>2414823</v>
          </cell>
          <cell r="F39">
            <v>848407</v>
          </cell>
          <cell r="G39">
            <v>3263230</v>
          </cell>
        </row>
        <row r="40">
          <cell r="A40" t="str">
            <v>San Bernardino</v>
          </cell>
          <cell r="B40">
            <v>78458900</v>
          </cell>
          <cell r="C40">
            <v>21515322</v>
          </cell>
          <cell r="D40">
            <v>99974222</v>
          </cell>
          <cell r="E40">
            <v>80473690</v>
          </cell>
          <cell r="F40">
            <v>24388913</v>
          </cell>
          <cell r="G40">
            <v>104862603</v>
          </cell>
        </row>
        <row r="41">
          <cell r="A41" t="str">
            <v>San Diego</v>
          </cell>
          <cell r="B41">
            <v>134883956</v>
          </cell>
          <cell r="C41">
            <v>33349661</v>
          </cell>
          <cell r="D41">
            <v>168233617</v>
          </cell>
          <cell r="E41">
            <v>140022964</v>
          </cell>
          <cell r="F41">
            <v>36387830</v>
          </cell>
          <cell r="G41">
            <v>176410794</v>
          </cell>
        </row>
        <row r="42">
          <cell r="A42" t="str">
            <v>San Francisco</v>
          </cell>
          <cell r="B42">
            <v>57658817</v>
          </cell>
          <cell r="C42">
            <v>16229857</v>
          </cell>
          <cell r="D42">
            <v>73888674</v>
          </cell>
          <cell r="E42">
            <v>58665237</v>
          </cell>
          <cell r="F42">
            <v>19679042</v>
          </cell>
          <cell r="G42">
            <v>78344279</v>
          </cell>
        </row>
        <row r="43">
          <cell r="A43" t="str">
            <v>San Joaquin</v>
          </cell>
          <cell r="B43">
            <v>27597211</v>
          </cell>
          <cell r="C43">
            <v>5712381</v>
          </cell>
          <cell r="D43">
            <v>33309592</v>
          </cell>
          <cell r="E43">
            <v>28415757</v>
          </cell>
          <cell r="F43">
            <v>6936714</v>
          </cell>
          <cell r="G43">
            <v>35352471</v>
          </cell>
        </row>
        <row r="44">
          <cell r="A44" t="str">
            <v>San Luis Obispo</v>
          </cell>
          <cell r="B44">
            <v>12998333</v>
          </cell>
          <cell r="C44">
            <v>3572952</v>
          </cell>
          <cell r="D44">
            <v>16571285</v>
          </cell>
          <cell r="E44">
            <v>13451849</v>
          </cell>
          <cell r="F44">
            <v>4016500</v>
          </cell>
          <cell r="G44">
            <v>17468349</v>
          </cell>
        </row>
        <row r="45">
          <cell r="A45" t="str">
            <v>San Mateo</v>
          </cell>
          <cell r="B45">
            <v>33210585</v>
          </cell>
          <cell r="C45">
            <v>6706766</v>
          </cell>
          <cell r="D45">
            <v>39917351</v>
          </cell>
          <cell r="E45">
            <v>33210585</v>
          </cell>
          <cell r="F45">
            <v>7929682</v>
          </cell>
          <cell r="G45">
            <v>41140267</v>
          </cell>
        </row>
        <row r="46">
          <cell r="A46" t="str">
            <v>Santa Barbara</v>
          </cell>
          <cell r="B46">
            <v>21623136</v>
          </cell>
          <cell r="C46">
            <v>4005705</v>
          </cell>
          <cell r="D46">
            <v>25628841</v>
          </cell>
          <cell r="E46">
            <v>23113505</v>
          </cell>
          <cell r="F46">
            <v>4890899</v>
          </cell>
          <cell r="G46">
            <v>28004403</v>
          </cell>
        </row>
        <row r="47">
          <cell r="A47" t="str">
            <v>Santa Clara</v>
          </cell>
          <cell r="B47">
            <v>83969532</v>
          </cell>
          <cell r="C47">
            <v>14184751</v>
          </cell>
          <cell r="D47">
            <v>98154283</v>
          </cell>
          <cell r="E47">
            <v>86386340</v>
          </cell>
          <cell r="F47">
            <v>16474661</v>
          </cell>
          <cell r="G47">
            <v>102861001</v>
          </cell>
        </row>
        <row r="48">
          <cell r="A48" t="str">
            <v>Santa Cruz</v>
          </cell>
          <cell r="B48">
            <v>9838003</v>
          </cell>
          <cell r="C48">
            <v>1903976</v>
          </cell>
          <cell r="D48">
            <v>11741979</v>
          </cell>
          <cell r="E48">
            <v>10205373</v>
          </cell>
          <cell r="F48">
            <v>2097507</v>
          </cell>
          <cell r="G48">
            <v>12302879</v>
          </cell>
        </row>
        <row r="49">
          <cell r="A49" t="str">
            <v>Shasta</v>
          </cell>
          <cell r="B49">
            <v>10368051</v>
          </cell>
          <cell r="C49">
            <v>2692420</v>
          </cell>
          <cell r="D49">
            <v>13060471</v>
          </cell>
          <cell r="E49">
            <v>11970677</v>
          </cell>
          <cell r="F49">
            <v>3156292</v>
          </cell>
          <cell r="G49">
            <v>15126970</v>
          </cell>
        </row>
        <row r="50">
          <cell r="A50" t="str">
            <v>Sierra</v>
          </cell>
          <cell r="B50">
            <v>342181</v>
          </cell>
          <cell r="C50">
            <v>246199</v>
          </cell>
          <cell r="D50">
            <v>588380</v>
          </cell>
          <cell r="E50">
            <v>360351</v>
          </cell>
          <cell r="F50">
            <v>257983</v>
          </cell>
          <cell r="G50">
            <v>618334</v>
          </cell>
        </row>
        <row r="51">
          <cell r="A51" t="str">
            <v>Siskiyou</v>
          </cell>
          <cell r="B51">
            <v>3738475</v>
          </cell>
          <cell r="C51">
            <v>1139500</v>
          </cell>
          <cell r="D51">
            <v>4877975</v>
          </cell>
          <cell r="E51">
            <v>3922145</v>
          </cell>
          <cell r="F51">
            <v>1193615</v>
          </cell>
          <cell r="G51">
            <v>5115760</v>
          </cell>
        </row>
        <row r="52">
          <cell r="A52" t="str">
            <v>Solano</v>
          </cell>
          <cell r="B52">
            <v>19976931</v>
          </cell>
          <cell r="C52">
            <v>8325218</v>
          </cell>
          <cell r="D52">
            <v>28302149</v>
          </cell>
          <cell r="E52">
            <v>20321090</v>
          </cell>
          <cell r="F52">
            <v>8520454</v>
          </cell>
          <cell r="G52">
            <v>28841544</v>
          </cell>
        </row>
        <row r="53">
          <cell r="A53" t="str">
            <v>Sonoma</v>
          </cell>
          <cell r="B53">
            <v>20321968</v>
          </cell>
          <cell r="C53">
            <v>6210897</v>
          </cell>
          <cell r="D53">
            <v>26532865</v>
          </cell>
          <cell r="E53">
            <v>21281968</v>
          </cell>
          <cell r="F53">
            <v>6857375</v>
          </cell>
          <cell r="G53">
            <v>28139343</v>
          </cell>
        </row>
        <row r="54">
          <cell r="A54" t="str">
            <v>Stanislaus</v>
          </cell>
          <cell r="B54">
            <v>18166187</v>
          </cell>
          <cell r="C54">
            <v>2662694</v>
          </cell>
          <cell r="D54">
            <v>20828881</v>
          </cell>
          <cell r="E54">
            <v>18673888</v>
          </cell>
          <cell r="F54">
            <v>3792057</v>
          </cell>
          <cell r="G54">
            <v>22465945</v>
          </cell>
        </row>
        <row r="55">
          <cell r="A55" t="str">
            <v>Sutter</v>
          </cell>
          <cell r="B55">
            <v>4665879</v>
          </cell>
          <cell r="C55">
            <v>1172190</v>
          </cell>
          <cell r="D55">
            <v>5838069</v>
          </cell>
          <cell r="E55">
            <v>4780486</v>
          </cell>
          <cell r="F55">
            <v>1250513</v>
          </cell>
          <cell r="G55">
            <v>6030998</v>
          </cell>
        </row>
        <row r="56">
          <cell r="A56" t="str">
            <v>Tehama</v>
          </cell>
          <cell r="B56">
            <v>3242369</v>
          </cell>
          <cell r="C56">
            <v>950209</v>
          </cell>
          <cell r="D56">
            <v>4192578</v>
          </cell>
          <cell r="E56">
            <v>3242369</v>
          </cell>
          <cell r="F56">
            <v>1048996</v>
          </cell>
          <cell r="G56">
            <v>4291365</v>
          </cell>
        </row>
        <row r="57">
          <cell r="A57" t="str">
            <v>Trinity</v>
          </cell>
          <cell r="B57">
            <v>1125388</v>
          </cell>
          <cell r="C57">
            <v>357845</v>
          </cell>
          <cell r="D57">
            <v>1483233</v>
          </cell>
          <cell r="E57">
            <v>1145909</v>
          </cell>
          <cell r="F57">
            <v>373752</v>
          </cell>
          <cell r="G57">
            <v>1519660</v>
          </cell>
        </row>
        <row r="58">
          <cell r="A58" t="str">
            <v>Tulare</v>
          </cell>
          <cell r="B58">
            <v>16682001</v>
          </cell>
          <cell r="C58">
            <v>4782607</v>
          </cell>
          <cell r="D58">
            <v>21464608</v>
          </cell>
          <cell r="E58">
            <v>17409927</v>
          </cell>
          <cell r="F58">
            <v>6145702</v>
          </cell>
          <cell r="G58">
            <v>23555629</v>
          </cell>
        </row>
        <row r="59">
          <cell r="A59" t="str">
            <v>Tuolumne</v>
          </cell>
          <cell r="B59">
            <v>2785805</v>
          </cell>
          <cell r="C59">
            <v>793775</v>
          </cell>
          <cell r="D59">
            <v>3579581</v>
          </cell>
          <cell r="E59">
            <v>3050010</v>
          </cell>
          <cell r="F59">
            <v>933719</v>
          </cell>
          <cell r="G59">
            <v>3983729</v>
          </cell>
        </row>
        <row r="60">
          <cell r="A60" t="str">
            <v>Ventura</v>
          </cell>
          <cell r="B60">
            <v>29484950</v>
          </cell>
          <cell r="C60">
            <v>8653651</v>
          </cell>
          <cell r="D60">
            <v>38138601</v>
          </cell>
          <cell r="E60">
            <v>33067974</v>
          </cell>
          <cell r="F60">
            <v>10466196</v>
          </cell>
          <cell r="G60">
            <v>43534170</v>
          </cell>
        </row>
        <row r="61">
          <cell r="A61" t="str">
            <v>Yolo</v>
          </cell>
          <cell r="B61">
            <v>6978960</v>
          </cell>
          <cell r="C61">
            <v>2550555</v>
          </cell>
          <cell r="D61">
            <v>9529515</v>
          </cell>
          <cell r="E61">
            <v>7813930</v>
          </cell>
          <cell r="F61">
            <v>2962058</v>
          </cell>
          <cell r="G61">
            <v>10775988</v>
          </cell>
        </row>
        <row r="62">
          <cell r="A62" t="str">
            <v>Yuba</v>
          </cell>
          <cell r="B62">
            <v>3625993</v>
          </cell>
          <cell r="C62">
            <v>1088191</v>
          </cell>
          <cell r="D62">
            <v>4714184</v>
          </cell>
          <cell r="E62">
            <v>4017905</v>
          </cell>
          <cell r="F62">
            <v>1523641</v>
          </cell>
          <cell r="G62">
            <v>5541546</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y Revise"/>
      <sheetName val="10R_1st Pass"/>
      <sheetName val="Revenue and Funding"/>
      <sheetName val="New Revenues"/>
      <sheetName val="Filings Detail"/>
      <sheetName val="Revenue Detail"/>
      <sheetName val="Filings Summary"/>
      <sheetName val="Revenue Summary"/>
      <sheetName val="First Paper"/>
      <sheetName val="Unlimited"/>
      <sheetName val="Limited 10K"/>
      <sheetName val="Marriage Dissolution"/>
      <sheetName val="Limited 10K to 25K"/>
      <sheetName val="GC 70626 Fees"/>
      <sheetName val="Motion Fees"/>
      <sheetName val="Probate Fees"/>
      <sheetName val="Limited 5K"/>
      <sheetName val="Family Law"/>
      <sheetName val="SMIF"/>
      <sheetName val="Telephonic Appearance"/>
      <sheetName val="Access EAF Dist"/>
      <sheetName val="TC145 Template 20140101"/>
      <sheetName val="Access TC-145 Calc Data13-14"/>
      <sheetName val="Access TEALE Data13-14"/>
      <sheetName val="Access TC-145 Calc Data12-13"/>
      <sheetName val="Access TEALE Data12-13"/>
      <sheetName val="Access TC-145 Calc Data11-12"/>
      <sheetName val="Access TEALE Data11-12"/>
      <sheetName val="Access TC-145 Calc Data10-11"/>
      <sheetName val="Access TEALE Data10-11"/>
      <sheetName val="Access TC-145 Calc Data09-10"/>
      <sheetName val="Access TEALE Data09-10"/>
      <sheetName val="Access TC-145 Calc Data08-09"/>
      <sheetName val="Access TEALE Data08-09"/>
      <sheetName val="Access TC-145 Calc Data07-08"/>
      <sheetName val="Access TEALE Data07-08"/>
      <sheetName val="Access TC-145 Calc Data06-07"/>
      <sheetName val="Access TEALE Data06-07"/>
      <sheetName val="Access TC-145 Calc Data05-06"/>
      <sheetName val="Access TEALE Data05-0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1"/>
      <sheetName val="Macro1"/>
    </sheetNames>
    <sheetDataSet>
      <sheetData sheetId="0"/>
      <sheetData sheetId="1">
        <row r="76">
          <cell r="A76" t="str">
            <v>Recover</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F_PCC list &amp; reduction"/>
      <sheetName val="Program Listing and Reducti (2)"/>
      <sheetName val="Program Listing and Reductions"/>
      <sheetName val="Mod Fund"/>
      <sheetName val="TCIF"/>
      <sheetName val="All Div - B1"/>
      <sheetName val="All Div - B2"/>
      <sheetName val="Combo Box"/>
    </sheetNames>
    <sheetDataSet>
      <sheetData sheetId="0"/>
      <sheetData sheetId="1"/>
      <sheetData sheetId="2"/>
      <sheetData sheetId="3"/>
      <sheetData sheetId="4"/>
      <sheetData sheetId="5"/>
      <sheetData sheetId="6"/>
      <sheetData sheetId="7">
        <row r="2">
          <cell r="A2" t="str">
            <v>Discontinue</v>
          </cell>
        </row>
        <row r="3">
          <cell r="A3" t="str">
            <v>Suspend</v>
          </cell>
        </row>
        <row r="4">
          <cell r="A4" t="str">
            <v>Partial</v>
          </cell>
        </row>
        <row r="5">
          <cell r="A5" t="str">
            <v>No Change</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TF 2009-10 2nd Turn (3)"/>
      <sheetName val="TCTF 2009-10 2nd Turn (2)"/>
      <sheetName val="TCTF 2009-10 2nd Turn"/>
      <sheetName val="FY 2008-09 Overview"/>
      <sheetName val="TEALE 2008"/>
      <sheetName val="TEALE 2008 (2)"/>
      <sheetName val="Account Descriptions"/>
      <sheetName val="Summary (2)"/>
      <sheetName val="Summary"/>
      <sheetName val="Sheet9"/>
      <sheetName val="FY 2008-09_Months"/>
      <sheetName val="TEALE 2006"/>
      <sheetName val="TEALE 2005"/>
      <sheetName val="Account Pvt Table"/>
      <sheetName val="Pvt Tbl 2"/>
      <sheetName val="Pvt Tbl"/>
      <sheetName val="Jeff_qryTC145B11 (2)"/>
      <sheetName val="Jeff_qryTC145B11"/>
      <sheetName val="New_Code_Section_and_TC_145_Row"/>
      <sheetName val="TC-145 Row_ID_Description"/>
      <sheetName val="TC-145 Template"/>
    </sheetNames>
    <sheetDataSet>
      <sheetData sheetId="0">
        <row r="10">
          <cell r="C10">
            <v>498600</v>
          </cell>
        </row>
      </sheetData>
      <sheetData sheetId="1"/>
      <sheetData sheetId="2"/>
      <sheetData sheetId="3"/>
      <sheetData sheetId="4">
        <row r="19">
          <cell r="B19">
            <v>30438790.829999998</v>
          </cell>
        </row>
      </sheetData>
      <sheetData sheetId="5">
        <row r="4">
          <cell r="A4">
            <v>131700</v>
          </cell>
        </row>
      </sheetData>
      <sheetData sheetId="6">
        <row r="3">
          <cell r="B3">
            <v>131700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W1" t="str">
            <v>Superior Court - Los Angeles</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port Template Example"/>
      <sheetName val="Report Template Instructions"/>
      <sheetName val="Report Template"/>
      <sheetName val="Report Template with comments"/>
      <sheetName val="Revision Crosswalk"/>
      <sheetName val="Schedule D Instructions"/>
      <sheetName val="Schedule D"/>
      <sheetName val="Schedule F Instructions"/>
      <sheetName val="Schedule F"/>
      <sheetName val="Certification"/>
      <sheetName val="Cod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
          <cell r="F1" t="str">
            <v>Madera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7"/>
  <sheetViews>
    <sheetView topLeftCell="A7" workbookViewId="0">
      <selection activeCell="B11" sqref="B11"/>
    </sheetView>
  </sheetViews>
  <sheetFormatPr defaultRowHeight="15" x14ac:dyDescent="0.25"/>
  <cols>
    <col min="1" max="1" width="20" bestFit="1" customWidth="1"/>
    <col min="2" max="2" width="199.140625" bestFit="1" customWidth="1"/>
  </cols>
  <sheetData>
    <row r="1" spans="1:2" s="3" customFormat="1" x14ac:dyDescent="0.25">
      <c r="A1" s="3" t="s">
        <v>118</v>
      </c>
      <c r="B1" s="3" t="s">
        <v>64</v>
      </c>
    </row>
    <row r="2" spans="1:2" s="3" customFormat="1" x14ac:dyDescent="0.25">
      <c r="A2" s="8" t="s">
        <v>74</v>
      </c>
      <c r="B2" s="43"/>
    </row>
    <row r="3" spans="1:2" s="3" customFormat="1" x14ac:dyDescent="0.25"/>
    <row r="4" spans="1:2" x14ac:dyDescent="0.25">
      <c r="A4" t="s">
        <v>119</v>
      </c>
      <c r="B4" s="4" t="s">
        <v>210</v>
      </c>
    </row>
    <row r="5" spans="1:2" ht="30" x14ac:dyDescent="0.25">
      <c r="B5" s="4" t="s">
        <v>121</v>
      </c>
    </row>
    <row r="6" spans="1:2" x14ac:dyDescent="0.25">
      <c r="B6" s="4"/>
    </row>
    <row r="7" spans="1:2" x14ac:dyDescent="0.25">
      <c r="A7" t="s">
        <v>124</v>
      </c>
      <c r="B7" s="4" t="s">
        <v>125</v>
      </c>
    </row>
    <row r="9" spans="1:2" x14ac:dyDescent="0.25">
      <c r="A9" t="s">
        <v>120</v>
      </c>
      <c r="B9" s="4" t="s">
        <v>123</v>
      </c>
    </row>
    <row r="10" spans="1:2" x14ac:dyDescent="0.25">
      <c r="B10" s="4"/>
    </row>
    <row r="11" spans="1:2" ht="30" x14ac:dyDescent="0.25">
      <c r="A11" t="s">
        <v>122</v>
      </c>
      <c r="B11" s="4" t="s">
        <v>126</v>
      </c>
    </row>
    <row r="13" spans="1:2" x14ac:dyDescent="0.25">
      <c r="A13" t="s">
        <v>127</v>
      </c>
      <c r="B13" t="s">
        <v>134</v>
      </c>
    </row>
    <row r="15" spans="1:2" x14ac:dyDescent="0.25">
      <c r="A15" t="s">
        <v>128</v>
      </c>
      <c r="B15" t="s">
        <v>134</v>
      </c>
    </row>
    <row r="17" spans="1:2" x14ac:dyDescent="0.25">
      <c r="A17" t="s">
        <v>129</v>
      </c>
      <c r="B17" t="s">
        <v>135</v>
      </c>
    </row>
    <row r="19" spans="1:2" x14ac:dyDescent="0.25">
      <c r="A19" t="s">
        <v>130</v>
      </c>
      <c r="B19" t="s">
        <v>136</v>
      </c>
    </row>
    <row r="21" spans="1:2" x14ac:dyDescent="0.25">
      <c r="A21" t="s">
        <v>131</v>
      </c>
      <c r="B21" s="42"/>
    </row>
    <row r="23" spans="1:2" x14ac:dyDescent="0.25">
      <c r="A23" t="s">
        <v>137</v>
      </c>
      <c r="B23" t="s">
        <v>138</v>
      </c>
    </row>
    <row r="25" spans="1:2" x14ac:dyDescent="0.25">
      <c r="A25" t="s">
        <v>132</v>
      </c>
      <c r="B25" t="s">
        <v>139</v>
      </c>
    </row>
    <row r="27" spans="1:2" x14ac:dyDescent="0.25">
      <c r="A27" t="s">
        <v>133</v>
      </c>
      <c r="B27" t="s">
        <v>140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CD586-5771-4BEC-B6FE-F634D30EE3BF}">
  <sheetPr>
    <tabColor rgb="FF92D050"/>
    <pageSetUpPr fitToPage="1"/>
  </sheetPr>
  <dimension ref="A1:C12"/>
  <sheetViews>
    <sheetView zoomScaleNormal="100" workbookViewId="0">
      <selection activeCell="C16" sqref="C16"/>
    </sheetView>
  </sheetViews>
  <sheetFormatPr defaultColWidth="9.28515625" defaultRowHeight="15" x14ac:dyDescent="0.25"/>
  <cols>
    <col min="1" max="1" width="10.5703125" style="166" customWidth="1"/>
    <col min="2" max="2" width="14.5703125" style="166" customWidth="1"/>
    <col min="3" max="3" width="26.140625" style="166" customWidth="1"/>
    <col min="4" max="16384" width="9.28515625" style="166"/>
  </cols>
  <sheetData>
    <row r="1" spans="1:3" ht="18.75" x14ac:dyDescent="0.25">
      <c r="A1" s="177" t="s">
        <v>198</v>
      </c>
    </row>
    <row r="2" spans="1:3" ht="20.100000000000001" customHeight="1" x14ac:dyDescent="0.25">
      <c r="A2" s="176" t="s">
        <v>229</v>
      </c>
    </row>
    <row r="3" spans="1:3" ht="20.100000000000001" customHeight="1" x14ac:dyDescent="0.25"/>
    <row r="4" spans="1:3" ht="45" x14ac:dyDescent="0.25">
      <c r="B4" s="258" t="s">
        <v>68</v>
      </c>
      <c r="C4" s="257" t="s">
        <v>197</v>
      </c>
    </row>
    <row r="5" spans="1:3" x14ac:dyDescent="0.25">
      <c r="B5" s="83" t="s">
        <v>65</v>
      </c>
      <c r="C5" s="83" t="s">
        <v>1</v>
      </c>
    </row>
    <row r="6" spans="1:3" ht="20.100000000000001" customHeight="1" x14ac:dyDescent="0.25">
      <c r="B6" s="69">
        <v>1</v>
      </c>
      <c r="C6" s="212">
        <v>29539.216833054419</v>
      </c>
    </row>
    <row r="7" spans="1:3" ht="20.100000000000001" customHeight="1" x14ac:dyDescent="0.25">
      <c r="B7" s="69">
        <v>2</v>
      </c>
      <c r="C7" s="212">
        <v>20194.263945700168</v>
      </c>
    </row>
    <row r="8" spans="1:3" ht="20.100000000000001" customHeight="1" x14ac:dyDescent="0.25">
      <c r="B8" s="69">
        <v>3</v>
      </c>
      <c r="C8" s="212">
        <v>20194.263945700168</v>
      </c>
    </row>
    <row r="9" spans="1:3" ht="20.100000000000001" customHeight="1" x14ac:dyDescent="0.25">
      <c r="B9" s="69">
        <v>4</v>
      </c>
      <c r="C9" s="212">
        <v>20194.263945700168</v>
      </c>
    </row>
    <row r="10" spans="1:3" ht="20.100000000000001" customHeight="1" x14ac:dyDescent="0.25">
      <c r="A10" s="56"/>
      <c r="B10" s="59"/>
    </row>
    <row r="11" spans="1:3" ht="20.100000000000001" customHeight="1" x14ac:dyDescent="0.25">
      <c r="B11" s="210" t="s">
        <v>230</v>
      </c>
    </row>
    <row r="12" spans="1:3" x14ac:dyDescent="0.25">
      <c r="A12" s="211"/>
    </row>
  </sheetData>
  <printOptions horizontalCentered="1"/>
  <pageMargins left="0.45" right="0.45" top="0.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CAACE-D4C9-44DF-A9FE-87DD490D0245}">
  <sheetPr>
    <tabColor rgb="FF92D050"/>
  </sheetPr>
  <dimension ref="A1:J64"/>
  <sheetViews>
    <sheetView workbookViewId="0">
      <selection activeCell="H57" sqref="H57"/>
    </sheetView>
  </sheetViews>
  <sheetFormatPr defaultRowHeight="15" x14ac:dyDescent="0.25"/>
  <cols>
    <col min="1" max="1" width="11" style="279" customWidth="1"/>
    <col min="2" max="2" width="14.85546875" bestFit="1" customWidth="1"/>
    <col min="3" max="4" width="15.5703125" bestFit="1" customWidth="1"/>
    <col min="5" max="5" width="20" bestFit="1" customWidth="1"/>
    <col min="7" max="7" width="15.5703125" customWidth="1"/>
    <col min="8" max="8" width="22.85546875" customWidth="1"/>
    <col min="9" max="9" width="11.28515625" bestFit="1" customWidth="1"/>
    <col min="10" max="10" width="13.42578125" customWidth="1"/>
  </cols>
  <sheetData>
    <row r="1" spans="1:10" ht="23.1" customHeight="1" x14ac:dyDescent="0.25">
      <c r="A1" s="290" t="s">
        <v>223</v>
      </c>
    </row>
    <row r="2" spans="1:10" x14ac:dyDescent="0.25">
      <c r="A2" s="176" t="s">
        <v>221</v>
      </c>
    </row>
    <row r="4" spans="1:10" ht="30" x14ac:dyDescent="0.25">
      <c r="A4" s="284" t="s">
        <v>218</v>
      </c>
      <c r="B4" s="274" t="s">
        <v>213</v>
      </c>
      <c r="C4" s="223" t="s">
        <v>214</v>
      </c>
      <c r="D4" s="223" t="s">
        <v>215</v>
      </c>
      <c r="E4" s="223" t="s">
        <v>222</v>
      </c>
    </row>
    <row r="5" spans="1:10" x14ac:dyDescent="0.25">
      <c r="A5" s="277">
        <v>1</v>
      </c>
      <c r="B5" s="278" t="s">
        <v>53</v>
      </c>
      <c r="C5" s="280">
        <v>1397212.17</v>
      </c>
      <c r="D5" s="280">
        <v>466698</v>
      </c>
      <c r="E5" s="281">
        <f>C5+D5</f>
        <v>1863910.17</v>
      </c>
      <c r="G5" s="287"/>
      <c r="H5" s="288"/>
      <c r="I5" s="285"/>
      <c r="J5" s="289"/>
    </row>
    <row r="6" spans="1:10" x14ac:dyDescent="0.25">
      <c r="A6" s="277">
        <v>2</v>
      </c>
      <c r="B6" s="167" t="s">
        <v>4</v>
      </c>
      <c r="C6" s="280">
        <v>0</v>
      </c>
      <c r="D6" s="280">
        <v>0</v>
      </c>
      <c r="E6" s="281">
        <f t="shared" ref="E6:E62" si="0">C6+D6</f>
        <v>0</v>
      </c>
      <c r="G6" s="287"/>
      <c r="H6" s="288"/>
      <c r="I6" s="285"/>
    </row>
    <row r="7" spans="1:10" x14ac:dyDescent="0.25">
      <c r="A7" s="277">
        <v>3</v>
      </c>
      <c r="B7" s="278" t="s">
        <v>5</v>
      </c>
      <c r="C7" s="280">
        <v>146951.35999999999</v>
      </c>
      <c r="D7" s="280">
        <v>49987.66</v>
      </c>
      <c r="E7" s="281">
        <f t="shared" si="0"/>
        <v>196939.02</v>
      </c>
      <c r="G7" s="287"/>
      <c r="H7" s="288"/>
      <c r="I7" s="285"/>
      <c r="J7" s="289"/>
    </row>
    <row r="8" spans="1:10" x14ac:dyDescent="0.25">
      <c r="A8" s="277">
        <v>4</v>
      </c>
      <c r="B8" s="278" t="s">
        <v>19</v>
      </c>
      <c r="C8" s="280">
        <v>158071.48000000001</v>
      </c>
      <c r="D8" s="280">
        <v>120356.89</v>
      </c>
      <c r="E8" s="281">
        <f t="shared" si="0"/>
        <v>278428.37</v>
      </c>
      <c r="G8" s="287"/>
      <c r="H8" s="288"/>
      <c r="I8" s="285"/>
      <c r="J8" s="289"/>
    </row>
    <row r="9" spans="1:10" x14ac:dyDescent="0.25">
      <c r="A9" s="277">
        <v>5</v>
      </c>
      <c r="B9" s="278" t="s">
        <v>6</v>
      </c>
      <c r="C9" s="280">
        <v>121109.52</v>
      </c>
      <c r="D9" s="280">
        <v>56833.26</v>
      </c>
      <c r="E9" s="281">
        <f t="shared" si="0"/>
        <v>177942.78</v>
      </c>
      <c r="G9" s="287"/>
      <c r="H9" s="288"/>
      <c r="I9" s="285"/>
      <c r="J9" s="289"/>
    </row>
    <row r="10" spans="1:10" x14ac:dyDescent="0.25">
      <c r="A10" s="277">
        <v>6</v>
      </c>
      <c r="B10" s="278" t="s">
        <v>7</v>
      </c>
      <c r="C10" s="280">
        <v>40626.29</v>
      </c>
      <c r="D10" s="280">
        <v>23977.119999999999</v>
      </c>
      <c r="E10" s="281">
        <f t="shared" si="0"/>
        <v>64603.41</v>
      </c>
      <c r="G10" s="287"/>
      <c r="H10" s="288"/>
      <c r="I10" s="285"/>
      <c r="J10" s="289"/>
    </row>
    <row r="11" spans="1:10" x14ac:dyDescent="0.25">
      <c r="A11" s="277">
        <v>7</v>
      </c>
      <c r="B11" s="278" t="s">
        <v>41</v>
      </c>
      <c r="C11" s="280">
        <v>851890.99</v>
      </c>
      <c r="D11" s="280">
        <v>330518</v>
      </c>
      <c r="E11" s="281">
        <f t="shared" si="0"/>
        <v>1182408.99</v>
      </c>
      <c r="G11" s="287"/>
      <c r="H11" s="288"/>
      <c r="I11" s="285"/>
      <c r="J11" s="289"/>
    </row>
    <row r="12" spans="1:10" x14ac:dyDescent="0.25">
      <c r="A12" s="277">
        <v>8</v>
      </c>
      <c r="B12" s="278" t="s">
        <v>8</v>
      </c>
      <c r="C12" s="280">
        <v>59662.06</v>
      </c>
      <c r="D12" s="280">
        <v>53942.86</v>
      </c>
      <c r="E12" s="281">
        <f t="shared" si="0"/>
        <v>113604.92</v>
      </c>
      <c r="G12" s="287"/>
      <c r="H12" s="288"/>
      <c r="I12" s="285"/>
      <c r="J12" s="289"/>
    </row>
    <row r="13" spans="1:10" x14ac:dyDescent="0.25">
      <c r="A13" s="277">
        <v>9</v>
      </c>
      <c r="B13" s="278" t="s">
        <v>20</v>
      </c>
      <c r="C13" s="280">
        <v>235929.56</v>
      </c>
      <c r="D13" s="280">
        <v>139289.99</v>
      </c>
      <c r="E13" s="281">
        <f t="shared" si="0"/>
        <v>375219.55</v>
      </c>
      <c r="G13" s="287"/>
      <c r="H13" s="288"/>
      <c r="I13" s="285"/>
      <c r="J13" s="289"/>
    </row>
    <row r="14" spans="1:10" x14ac:dyDescent="0.25">
      <c r="A14" s="277">
        <v>10</v>
      </c>
      <c r="B14" s="278" t="s">
        <v>42</v>
      </c>
      <c r="C14" s="280">
        <v>1871364.48</v>
      </c>
      <c r="D14" s="280">
        <v>517710.97</v>
      </c>
      <c r="E14" s="281">
        <f t="shared" si="0"/>
        <v>2389075.4500000002</v>
      </c>
      <c r="G14" s="287"/>
      <c r="H14" s="288"/>
      <c r="I14" s="289"/>
      <c r="J14" s="289"/>
    </row>
    <row r="15" spans="1:10" x14ac:dyDescent="0.25">
      <c r="A15" s="277">
        <v>11</v>
      </c>
      <c r="B15" s="278" t="s">
        <v>9</v>
      </c>
      <c r="C15" s="280">
        <v>88509.57</v>
      </c>
      <c r="D15" s="280">
        <v>39626.81</v>
      </c>
      <c r="E15" s="281">
        <f t="shared" si="0"/>
        <v>128136.38</v>
      </c>
      <c r="G15" s="286"/>
      <c r="H15" s="285"/>
      <c r="I15" s="289"/>
      <c r="J15" s="289"/>
    </row>
    <row r="16" spans="1:10" x14ac:dyDescent="0.25">
      <c r="A16" s="277">
        <v>12</v>
      </c>
      <c r="B16" s="278" t="s">
        <v>21</v>
      </c>
      <c r="C16" s="280">
        <v>140106.67000000001</v>
      </c>
      <c r="D16" s="280">
        <v>95635.839999999997</v>
      </c>
      <c r="E16" s="281">
        <f t="shared" si="0"/>
        <v>235742.51</v>
      </c>
      <c r="G16" s="286"/>
      <c r="H16" s="285"/>
      <c r="I16" s="289"/>
      <c r="J16" s="289"/>
    </row>
    <row r="17" spans="1:10" x14ac:dyDescent="0.25">
      <c r="A17" s="277">
        <v>13</v>
      </c>
      <c r="B17" s="278" t="s">
        <v>22</v>
      </c>
      <c r="C17" s="280">
        <v>278008.24</v>
      </c>
      <c r="D17" s="280">
        <v>35182.160000000003</v>
      </c>
      <c r="E17" s="281">
        <f t="shared" si="0"/>
        <v>313190.40000000002</v>
      </c>
      <c r="G17" s="286"/>
      <c r="H17" s="285"/>
      <c r="I17" s="289"/>
      <c r="J17" s="289"/>
    </row>
    <row r="18" spans="1:10" x14ac:dyDescent="0.25">
      <c r="A18" s="277">
        <v>14</v>
      </c>
      <c r="B18" s="278" t="s">
        <v>10</v>
      </c>
      <c r="C18" s="280">
        <v>81904.009999999995</v>
      </c>
      <c r="D18" s="280">
        <v>32739.66</v>
      </c>
      <c r="E18" s="281">
        <f t="shared" si="0"/>
        <v>114643.67</v>
      </c>
      <c r="G18" s="286"/>
      <c r="H18" s="285"/>
      <c r="I18" s="289"/>
      <c r="J18" s="289"/>
    </row>
    <row r="19" spans="1:10" x14ac:dyDescent="0.25">
      <c r="A19" s="277">
        <v>15</v>
      </c>
      <c r="B19" s="278" t="s">
        <v>43</v>
      </c>
      <c r="C19" s="280">
        <v>864389.41</v>
      </c>
      <c r="D19" s="280">
        <v>590172</v>
      </c>
      <c r="E19" s="281">
        <f t="shared" si="0"/>
        <v>1454561.4100000001</v>
      </c>
      <c r="G19" s="286"/>
      <c r="H19" s="285"/>
      <c r="I19" s="289"/>
      <c r="J19" s="289"/>
    </row>
    <row r="20" spans="1:10" x14ac:dyDescent="0.25">
      <c r="A20" s="277">
        <v>16</v>
      </c>
      <c r="B20" s="278" t="s">
        <v>23</v>
      </c>
      <c r="C20" s="280">
        <v>401455.77</v>
      </c>
      <c r="D20" s="280">
        <v>39553.980000000003</v>
      </c>
      <c r="E20" s="281">
        <f t="shared" si="0"/>
        <v>441009.75</v>
      </c>
      <c r="G20" s="286"/>
      <c r="H20" s="285"/>
      <c r="I20" s="289"/>
      <c r="J20" s="289"/>
    </row>
    <row r="21" spans="1:10" x14ac:dyDescent="0.25">
      <c r="A21" s="277">
        <v>17</v>
      </c>
      <c r="B21" s="278" t="s">
        <v>24</v>
      </c>
      <c r="C21" s="280">
        <v>209849.98</v>
      </c>
      <c r="D21" s="280">
        <v>75280.759999999995</v>
      </c>
      <c r="E21" s="281">
        <f t="shared" si="0"/>
        <v>285130.74</v>
      </c>
      <c r="G21" s="286"/>
      <c r="H21" s="285"/>
      <c r="I21" s="289"/>
      <c r="J21" s="289"/>
    </row>
    <row r="22" spans="1:10" x14ac:dyDescent="0.25">
      <c r="A22" s="277">
        <v>18</v>
      </c>
      <c r="B22" s="278" t="s">
        <v>11</v>
      </c>
      <c r="C22" s="280">
        <v>66535.41</v>
      </c>
      <c r="D22" s="280">
        <v>28568.29</v>
      </c>
      <c r="E22" s="281">
        <f t="shared" si="0"/>
        <v>95103.700000000012</v>
      </c>
      <c r="G22" s="286"/>
      <c r="H22" s="285"/>
      <c r="I22" s="289"/>
      <c r="J22" s="289"/>
    </row>
    <row r="23" spans="1:10" x14ac:dyDescent="0.25">
      <c r="A23" s="277">
        <v>19</v>
      </c>
      <c r="B23" s="278" t="s">
        <v>54</v>
      </c>
      <c r="C23" s="280">
        <v>6962386.8799999999</v>
      </c>
      <c r="D23" s="280">
        <v>2228174.0299999998</v>
      </c>
      <c r="E23" s="281">
        <f t="shared" si="0"/>
        <v>9190560.9100000001</v>
      </c>
      <c r="G23" s="286"/>
      <c r="H23" s="285"/>
      <c r="I23" s="289"/>
      <c r="J23" s="289"/>
    </row>
    <row r="24" spans="1:10" x14ac:dyDescent="0.25">
      <c r="A24" s="277">
        <v>20</v>
      </c>
      <c r="B24" s="278" t="s">
        <v>25</v>
      </c>
      <c r="C24" s="280">
        <v>298954.7</v>
      </c>
      <c r="D24" s="280">
        <v>92516.58</v>
      </c>
      <c r="E24" s="281">
        <f t="shared" si="0"/>
        <v>391471.28</v>
      </c>
      <c r="G24" s="286"/>
      <c r="H24" s="285"/>
      <c r="I24" s="289"/>
      <c r="J24" s="289"/>
    </row>
    <row r="25" spans="1:10" x14ac:dyDescent="0.25">
      <c r="A25" s="277">
        <v>21</v>
      </c>
      <c r="B25" s="278" t="s">
        <v>26</v>
      </c>
      <c r="C25" s="280">
        <v>128061.89</v>
      </c>
      <c r="D25" s="280">
        <v>82718.350000000006</v>
      </c>
      <c r="E25" s="281">
        <f t="shared" si="0"/>
        <v>210780.24</v>
      </c>
      <c r="G25" s="286"/>
      <c r="H25" s="285"/>
      <c r="I25" s="289"/>
      <c r="J25" s="289"/>
    </row>
    <row r="26" spans="1:10" x14ac:dyDescent="0.25">
      <c r="A26" s="277">
        <v>22</v>
      </c>
      <c r="B26" s="278" t="s">
        <v>12</v>
      </c>
      <c r="C26" s="280">
        <v>39681.4</v>
      </c>
      <c r="D26" s="280">
        <v>30361.51</v>
      </c>
      <c r="E26" s="281">
        <f t="shared" si="0"/>
        <v>70042.91</v>
      </c>
      <c r="G26" s="286"/>
      <c r="H26" s="285"/>
      <c r="I26" s="289"/>
      <c r="J26" s="289"/>
    </row>
    <row r="27" spans="1:10" x14ac:dyDescent="0.25">
      <c r="A27" s="277">
        <v>23</v>
      </c>
      <c r="B27" s="278" t="s">
        <v>27</v>
      </c>
      <c r="C27" s="280">
        <v>195657.8</v>
      </c>
      <c r="D27" s="280">
        <v>86508.5</v>
      </c>
      <c r="E27" s="281">
        <f t="shared" si="0"/>
        <v>282166.3</v>
      </c>
      <c r="G27" s="286"/>
      <c r="H27" s="285"/>
      <c r="I27" s="289"/>
      <c r="J27" s="289"/>
    </row>
    <row r="28" spans="1:10" x14ac:dyDescent="0.25">
      <c r="A28" s="277">
        <v>24</v>
      </c>
      <c r="B28" s="278" t="s">
        <v>28</v>
      </c>
      <c r="C28" s="280">
        <v>580523.01</v>
      </c>
      <c r="D28" s="280">
        <v>177722</v>
      </c>
      <c r="E28" s="281">
        <f t="shared" si="0"/>
        <v>758245.01</v>
      </c>
      <c r="G28" s="286"/>
      <c r="H28" s="285"/>
      <c r="I28" s="289"/>
      <c r="J28" s="289"/>
    </row>
    <row r="29" spans="1:10" x14ac:dyDescent="0.25">
      <c r="A29" s="277">
        <v>25</v>
      </c>
      <c r="B29" s="278" t="s">
        <v>13</v>
      </c>
      <c r="C29" s="280">
        <v>0</v>
      </c>
      <c r="D29" s="280">
        <v>71764</v>
      </c>
      <c r="E29" s="281">
        <f t="shared" si="0"/>
        <v>71764</v>
      </c>
      <c r="G29" s="286"/>
      <c r="H29" s="285"/>
      <c r="J29" s="289"/>
    </row>
    <row r="30" spans="1:10" x14ac:dyDescent="0.25">
      <c r="A30" s="277">
        <v>26</v>
      </c>
      <c r="B30" s="278" t="s">
        <v>14</v>
      </c>
      <c r="C30" s="280">
        <v>34576.239999999998</v>
      </c>
      <c r="D30" s="280">
        <v>38625.18</v>
      </c>
      <c r="E30" s="281">
        <f t="shared" si="0"/>
        <v>73201.42</v>
      </c>
      <c r="G30" s="286"/>
      <c r="H30" s="285"/>
      <c r="I30" s="289"/>
      <c r="J30" s="289"/>
    </row>
    <row r="31" spans="1:10" x14ac:dyDescent="0.25">
      <c r="A31" s="277">
        <v>27</v>
      </c>
      <c r="B31" s="278" t="s">
        <v>44</v>
      </c>
      <c r="C31" s="280">
        <v>399973.87</v>
      </c>
      <c r="D31" s="280">
        <v>159796</v>
      </c>
      <c r="E31" s="281">
        <f t="shared" si="0"/>
        <v>559769.87</v>
      </c>
      <c r="G31" s="286"/>
      <c r="H31" s="285"/>
      <c r="I31" s="289"/>
      <c r="J31" s="289"/>
    </row>
    <row r="32" spans="1:10" x14ac:dyDescent="0.25">
      <c r="A32" s="277">
        <v>28</v>
      </c>
      <c r="B32" s="278" t="s">
        <v>29</v>
      </c>
      <c r="C32" s="280">
        <v>100465</v>
      </c>
      <c r="D32" s="280">
        <v>88922.01</v>
      </c>
      <c r="E32" s="281">
        <f t="shared" si="0"/>
        <v>189387.01</v>
      </c>
      <c r="G32" s="286"/>
      <c r="H32" s="285"/>
      <c r="I32" s="289"/>
      <c r="J32" s="289"/>
    </row>
    <row r="33" spans="1:10" x14ac:dyDescent="0.25">
      <c r="A33" s="277">
        <v>29</v>
      </c>
      <c r="B33" s="278" t="s">
        <v>30</v>
      </c>
      <c r="C33" s="280">
        <v>230833.7</v>
      </c>
      <c r="D33" s="280">
        <v>87710.9</v>
      </c>
      <c r="E33" s="281">
        <f t="shared" si="0"/>
        <v>318544.59999999998</v>
      </c>
      <c r="G33" s="286"/>
      <c r="H33" s="285"/>
      <c r="I33" s="289"/>
      <c r="J33" s="289"/>
    </row>
    <row r="34" spans="1:10" x14ac:dyDescent="0.25">
      <c r="A34" s="277">
        <v>30</v>
      </c>
      <c r="B34" s="278" t="s">
        <v>55</v>
      </c>
      <c r="C34" s="280">
        <v>2063714.85</v>
      </c>
      <c r="D34" s="280">
        <v>557367.01</v>
      </c>
      <c r="E34" s="281">
        <f t="shared" si="0"/>
        <v>2621081.8600000003</v>
      </c>
      <c r="G34" s="286"/>
      <c r="H34" s="285"/>
      <c r="I34" s="289"/>
      <c r="J34" s="289"/>
    </row>
    <row r="35" spans="1:10" x14ac:dyDescent="0.25">
      <c r="A35" s="277">
        <v>31</v>
      </c>
      <c r="B35" s="278" t="s">
        <v>31</v>
      </c>
      <c r="C35" s="280">
        <v>300037.99</v>
      </c>
      <c r="D35" s="280">
        <v>63893.8</v>
      </c>
      <c r="E35" s="281">
        <f t="shared" si="0"/>
        <v>363931.79</v>
      </c>
      <c r="G35" s="286"/>
      <c r="H35" s="285"/>
      <c r="I35" s="289"/>
      <c r="J35" s="289"/>
    </row>
    <row r="36" spans="1:10" x14ac:dyDescent="0.25">
      <c r="A36" s="277">
        <v>32</v>
      </c>
      <c r="B36" s="278" t="s">
        <v>15</v>
      </c>
      <c r="C36" s="280">
        <v>80467.399999999994</v>
      </c>
      <c r="D36" s="280">
        <v>60976.98</v>
      </c>
      <c r="E36" s="281">
        <f t="shared" si="0"/>
        <v>141444.38</v>
      </c>
      <c r="G36" s="286"/>
      <c r="H36" s="285"/>
      <c r="I36" s="289"/>
      <c r="J36" s="289"/>
    </row>
    <row r="37" spans="1:10" x14ac:dyDescent="0.25">
      <c r="A37" s="277">
        <v>33</v>
      </c>
      <c r="B37" s="278" t="s">
        <v>56</v>
      </c>
      <c r="C37" s="280">
        <v>972563.45</v>
      </c>
      <c r="D37" s="280">
        <v>707715.23</v>
      </c>
      <c r="E37" s="281">
        <f t="shared" si="0"/>
        <v>1680278.68</v>
      </c>
      <c r="G37" s="286"/>
      <c r="H37" s="285"/>
      <c r="I37" s="289"/>
      <c r="J37" s="289"/>
    </row>
    <row r="38" spans="1:10" x14ac:dyDescent="0.25">
      <c r="A38" s="277">
        <v>34</v>
      </c>
      <c r="B38" s="278" t="s">
        <v>57</v>
      </c>
      <c r="C38" s="280">
        <v>1233007.73</v>
      </c>
      <c r="D38" s="280">
        <v>452589</v>
      </c>
      <c r="E38" s="281">
        <f t="shared" si="0"/>
        <v>1685596.73</v>
      </c>
      <c r="G38" s="286"/>
      <c r="H38" s="285"/>
      <c r="I38" s="289"/>
      <c r="J38" s="289"/>
    </row>
    <row r="39" spans="1:10" x14ac:dyDescent="0.25">
      <c r="A39" s="277">
        <v>35</v>
      </c>
      <c r="B39" s="278" t="s">
        <v>16</v>
      </c>
      <c r="C39" s="280">
        <v>152412.35</v>
      </c>
      <c r="D39" s="280">
        <v>79528.649999999994</v>
      </c>
      <c r="E39" s="281">
        <f t="shared" si="0"/>
        <v>231941</v>
      </c>
      <c r="G39" s="286"/>
      <c r="H39" s="285"/>
      <c r="I39" s="289"/>
      <c r="J39" s="289"/>
    </row>
    <row r="40" spans="1:10" x14ac:dyDescent="0.25">
      <c r="A40" s="277">
        <v>36</v>
      </c>
      <c r="B40" s="278" t="s">
        <v>58</v>
      </c>
      <c r="C40" s="280">
        <v>3714001.68</v>
      </c>
      <c r="D40" s="280">
        <v>671496.68</v>
      </c>
      <c r="E40" s="281">
        <f t="shared" si="0"/>
        <v>4385498.3600000003</v>
      </c>
      <c r="G40" s="286"/>
      <c r="H40" s="285"/>
      <c r="I40" s="289"/>
      <c r="J40" s="289"/>
    </row>
    <row r="41" spans="1:10" x14ac:dyDescent="0.25">
      <c r="A41" s="277">
        <v>37</v>
      </c>
      <c r="B41" s="278" t="s">
        <v>59</v>
      </c>
      <c r="C41" s="280">
        <v>2422850.29</v>
      </c>
      <c r="D41" s="280">
        <v>780198.99</v>
      </c>
      <c r="E41" s="281">
        <f t="shared" si="0"/>
        <v>3203049.2800000003</v>
      </c>
      <c r="G41" s="286"/>
      <c r="H41" s="285"/>
      <c r="I41" s="289"/>
      <c r="J41" s="289"/>
    </row>
    <row r="42" spans="1:10" x14ac:dyDescent="0.25">
      <c r="A42" s="277">
        <v>38</v>
      </c>
      <c r="B42" s="278" t="s">
        <v>60</v>
      </c>
      <c r="C42" s="280">
        <v>857283.01</v>
      </c>
      <c r="D42" s="280">
        <v>277806.92</v>
      </c>
      <c r="E42" s="281">
        <f t="shared" si="0"/>
        <v>1135089.93</v>
      </c>
      <c r="G42" s="286"/>
      <c r="H42" s="285"/>
      <c r="I42" s="289"/>
      <c r="J42" s="289"/>
    </row>
    <row r="43" spans="1:10" x14ac:dyDescent="0.25">
      <c r="A43" s="277">
        <v>39</v>
      </c>
      <c r="B43" s="278" t="s">
        <v>45</v>
      </c>
      <c r="C43" s="280">
        <v>636098.14</v>
      </c>
      <c r="D43" s="280">
        <v>247654.31</v>
      </c>
      <c r="E43" s="281">
        <f t="shared" si="0"/>
        <v>883752.45</v>
      </c>
      <c r="G43" s="286"/>
      <c r="H43" s="285"/>
      <c r="I43" s="289"/>
      <c r="J43" s="289"/>
    </row>
    <row r="44" spans="1:10" x14ac:dyDescent="0.25">
      <c r="A44" s="277">
        <v>40</v>
      </c>
      <c r="B44" s="278" t="s">
        <v>32</v>
      </c>
      <c r="C44" s="280">
        <v>189110.91</v>
      </c>
      <c r="D44" s="280">
        <v>86894.84</v>
      </c>
      <c r="E44" s="281">
        <f t="shared" si="0"/>
        <v>276005.75</v>
      </c>
      <c r="G44" s="286"/>
      <c r="H44" s="285"/>
      <c r="I44" s="289"/>
      <c r="J44" s="289"/>
    </row>
    <row r="45" spans="1:10" x14ac:dyDescent="0.25">
      <c r="A45" s="277">
        <v>41</v>
      </c>
      <c r="B45" s="278" t="s">
        <v>46</v>
      </c>
      <c r="C45" s="280">
        <v>398035.61</v>
      </c>
      <c r="D45" s="280">
        <v>185364.61</v>
      </c>
      <c r="E45" s="281">
        <f t="shared" si="0"/>
        <v>583400.22</v>
      </c>
      <c r="G45" s="286"/>
      <c r="H45" s="285"/>
      <c r="I45" s="289"/>
      <c r="J45" s="289"/>
    </row>
    <row r="46" spans="1:10" x14ac:dyDescent="0.25">
      <c r="A46" s="277">
        <v>42</v>
      </c>
      <c r="B46" s="278" t="s">
        <v>47</v>
      </c>
      <c r="C46" s="280">
        <v>581554.82999999996</v>
      </c>
      <c r="D46" s="280">
        <v>187962.17</v>
      </c>
      <c r="E46" s="281">
        <f t="shared" si="0"/>
        <v>769517</v>
      </c>
      <c r="G46" s="286"/>
      <c r="H46" s="285"/>
      <c r="I46" s="289"/>
      <c r="J46" s="289"/>
    </row>
    <row r="47" spans="1:10" x14ac:dyDescent="0.25">
      <c r="A47" s="277">
        <v>43</v>
      </c>
      <c r="B47" s="278" t="s">
        <v>61</v>
      </c>
      <c r="C47" s="280">
        <v>1999459.89</v>
      </c>
      <c r="D47" s="280">
        <v>589671.93000000005</v>
      </c>
      <c r="E47" s="281">
        <f t="shared" si="0"/>
        <v>2589131.8199999998</v>
      </c>
      <c r="G47" s="286"/>
      <c r="H47" s="285"/>
      <c r="I47" s="289"/>
      <c r="J47" s="289"/>
    </row>
    <row r="48" spans="1:10" x14ac:dyDescent="0.25">
      <c r="A48" s="277">
        <v>44</v>
      </c>
      <c r="B48" s="278" t="s">
        <v>33</v>
      </c>
      <c r="C48" s="280">
        <v>205986.99</v>
      </c>
      <c r="D48" s="280">
        <v>94348</v>
      </c>
      <c r="E48" s="281">
        <f t="shared" si="0"/>
        <v>300334.99</v>
      </c>
      <c r="G48" s="286"/>
      <c r="H48" s="285"/>
      <c r="I48" s="289"/>
      <c r="J48" s="289"/>
    </row>
    <row r="49" spans="1:10" x14ac:dyDescent="0.25">
      <c r="A49" s="277">
        <v>45</v>
      </c>
      <c r="B49" s="278" t="s">
        <v>34</v>
      </c>
      <c r="C49" s="280">
        <v>320393.92</v>
      </c>
      <c r="D49" s="280">
        <v>164534.60999999999</v>
      </c>
      <c r="E49" s="281">
        <f t="shared" si="0"/>
        <v>484928.52999999997</v>
      </c>
      <c r="G49" s="286"/>
      <c r="H49" s="285"/>
      <c r="I49" s="289"/>
      <c r="J49" s="289"/>
    </row>
    <row r="50" spans="1:10" x14ac:dyDescent="0.25">
      <c r="A50" s="277">
        <v>46</v>
      </c>
      <c r="B50" s="167" t="s">
        <v>17</v>
      </c>
      <c r="C50" s="280">
        <v>0</v>
      </c>
      <c r="D50" s="280">
        <v>0</v>
      </c>
      <c r="E50" s="281">
        <f t="shared" si="0"/>
        <v>0</v>
      </c>
      <c r="G50" s="285"/>
      <c r="H50" s="285"/>
    </row>
    <row r="51" spans="1:10" x14ac:dyDescent="0.25">
      <c r="A51" s="277">
        <v>47</v>
      </c>
      <c r="B51" s="278" t="s">
        <v>35</v>
      </c>
      <c r="C51" s="280">
        <v>79184.399999999994</v>
      </c>
      <c r="D51" s="280">
        <v>104360.47</v>
      </c>
      <c r="E51" s="281">
        <f t="shared" si="0"/>
        <v>183544.87</v>
      </c>
      <c r="G51" s="285"/>
      <c r="H51" s="285"/>
      <c r="I51" s="289"/>
      <c r="J51" s="289"/>
    </row>
    <row r="52" spans="1:10" x14ac:dyDescent="0.25">
      <c r="A52" s="277">
        <v>48</v>
      </c>
      <c r="B52" s="278" t="s">
        <v>48</v>
      </c>
      <c r="C52" s="280">
        <v>480369.63</v>
      </c>
      <c r="D52" s="280">
        <v>155278.6</v>
      </c>
      <c r="E52" s="281">
        <f t="shared" si="0"/>
        <v>635648.23</v>
      </c>
      <c r="G52" s="285"/>
      <c r="H52" s="285"/>
      <c r="I52" s="289"/>
      <c r="J52" s="289"/>
    </row>
    <row r="53" spans="1:10" x14ac:dyDescent="0.25">
      <c r="A53" s="277">
        <v>49</v>
      </c>
      <c r="B53" s="278" t="s">
        <v>49</v>
      </c>
      <c r="C53" s="280">
        <v>582099.43000000005</v>
      </c>
      <c r="D53" s="280">
        <v>182408.32000000001</v>
      </c>
      <c r="E53" s="281">
        <f t="shared" si="0"/>
        <v>764507.75</v>
      </c>
      <c r="G53" s="285"/>
      <c r="H53" s="285"/>
      <c r="I53" s="289"/>
      <c r="J53" s="289"/>
    </row>
    <row r="54" spans="1:10" x14ac:dyDescent="0.25">
      <c r="A54" s="277">
        <v>50</v>
      </c>
      <c r="B54" s="278" t="s">
        <v>50</v>
      </c>
      <c r="C54" s="280">
        <v>858249.53</v>
      </c>
      <c r="D54" s="280">
        <v>238688.46</v>
      </c>
      <c r="E54" s="281">
        <f t="shared" si="0"/>
        <v>1096937.99</v>
      </c>
      <c r="G54" s="285"/>
      <c r="H54" s="285"/>
      <c r="I54" s="289"/>
      <c r="J54" s="289"/>
    </row>
    <row r="55" spans="1:10" x14ac:dyDescent="0.25">
      <c r="A55" s="277">
        <v>51</v>
      </c>
      <c r="B55" s="278" t="s">
        <v>36</v>
      </c>
      <c r="C55" s="280">
        <v>211071.64</v>
      </c>
      <c r="D55" s="280">
        <v>82072.58</v>
      </c>
      <c r="E55" s="281">
        <f t="shared" si="0"/>
        <v>293144.22000000003</v>
      </c>
      <c r="G55" s="285"/>
      <c r="H55" s="285"/>
      <c r="I55" s="289"/>
      <c r="J55" s="289"/>
    </row>
    <row r="56" spans="1:10" x14ac:dyDescent="0.25">
      <c r="A56" s="277">
        <v>52</v>
      </c>
      <c r="B56" s="278" t="s">
        <v>37</v>
      </c>
      <c r="C56" s="280">
        <v>151651.99</v>
      </c>
      <c r="D56" s="280">
        <v>29424.81</v>
      </c>
      <c r="E56" s="281">
        <f t="shared" si="0"/>
        <v>181076.8</v>
      </c>
      <c r="G56" s="285"/>
      <c r="H56" s="285"/>
      <c r="I56" s="289"/>
      <c r="J56" s="289"/>
    </row>
    <row r="57" spans="1:10" x14ac:dyDescent="0.25">
      <c r="A57" s="277">
        <v>53</v>
      </c>
      <c r="B57" s="167" t="s">
        <v>18</v>
      </c>
      <c r="C57" s="280">
        <v>0</v>
      </c>
      <c r="D57" s="280">
        <v>0</v>
      </c>
      <c r="E57" s="281">
        <f t="shared" si="0"/>
        <v>0</v>
      </c>
      <c r="G57" s="285"/>
      <c r="H57" s="285"/>
    </row>
    <row r="58" spans="1:10" x14ac:dyDescent="0.25">
      <c r="A58" s="277">
        <v>54</v>
      </c>
      <c r="B58" s="278" t="s">
        <v>51</v>
      </c>
      <c r="C58" s="280">
        <v>549825.68999999994</v>
      </c>
      <c r="D58" s="280">
        <v>375813.8</v>
      </c>
      <c r="E58" s="281">
        <f t="shared" si="0"/>
        <v>925639.49</v>
      </c>
      <c r="G58" s="285"/>
      <c r="H58" s="285"/>
      <c r="I58" s="289"/>
      <c r="J58" s="289"/>
    </row>
    <row r="59" spans="1:10" x14ac:dyDescent="0.25">
      <c r="A59" s="277">
        <v>55</v>
      </c>
      <c r="B59" s="278" t="s">
        <v>38</v>
      </c>
      <c r="C59" s="280">
        <v>189628.36</v>
      </c>
      <c r="D59" s="280">
        <v>84066.19</v>
      </c>
      <c r="E59" s="281">
        <f t="shared" si="0"/>
        <v>273694.55</v>
      </c>
      <c r="G59" s="285"/>
      <c r="H59" s="285"/>
      <c r="I59" s="289"/>
      <c r="J59" s="289"/>
    </row>
    <row r="60" spans="1:10" x14ac:dyDescent="0.25">
      <c r="A60" s="277">
        <v>56</v>
      </c>
      <c r="B60" s="278" t="s">
        <v>52</v>
      </c>
      <c r="C60" s="280">
        <v>425676.12</v>
      </c>
      <c r="D60" s="280">
        <v>306976.24</v>
      </c>
      <c r="E60" s="281">
        <f t="shared" si="0"/>
        <v>732652.36</v>
      </c>
      <c r="G60" s="285"/>
      <c r="H60" s="285"/>
      <c r="I60" s="289"/>
      <c r="J60" s="289"/>
    </row>
    <row r="61" spans="1:10" x14ac:dyDescent="0.25">
      <c r="A61" s="277">
        <v>57</v>
      </c>
      <c r="B61" s="278" t="s">
        <v>39</v>
      </c>
      <c r="C61" s="280">
        <v>212138.44</v>
      </c>
      <c r="D61" s="280">
        <v>100821.81</v>
      </c>
      <c r="E61" s="281">
        <f t="shared" si="0"/>
        <v>312960.25</v>
      </c>
      <c r="G61" s="285"/>
      <c r="H61" s="285"/>
      <c r="I61" s="289"/>
      <c r="J61" s="289"/>
    </row>
    <row r="62" spans="1:10" x14ac:dyDescent="0.25">
      <c r="A62" s="277">
        <v>58</v>
      </c>
      <c r="B62" s="278" t="s">
        <v>40</v>
      </c>
      <c r="C62" s="280">
        <v>236149</v>
      </c>
      <c r="D62" s="280">
        <v>88763.51</v>
      </c>
      <c r="E62" s="281">
        <f t="shared" si="0"/>
        <v>324912.51</v>
      </c>
      <c r="G62" s="285"/>
      <c r="H62" s="285"/>
      <c r="I62" s="289"/>
      <c r="J62" s="289"/>
    </row>
    <row r="63" spans="1:10" ht="15.75" thickBot="1" x14ac:dyDescent="0.3">
      <c r="B63" s="3" t="s">
        <v>216</v>
      </c>
      <c r="C63" s="282">
        <f>SUM(C5:C62)</f>
        <v>36087714.729999989</v>
      </c>
      <c r="D63" s="282">
        <f>SUM(D5:D62)</f>
        <v>12797571.83</v>
      </c>
      <c r="E63" s="282">
        <f>SUM(E5:E62)</f>
        <v>48885286.560000002</v>
      </c>
    </row>
    <row r="64" spans="1:10" ht="15.75" thickTop="1" x14ac:dyDescent="0.25"/>
  </sheetData>
  <pageMargins left="0.7" right="0.7" top="0.75" bottom="0.75" header="0.3" footer="0.3"/>
  <pageSetup orientation="portrait" horizontalDpi="1200" verticalDpi="1200" r:id="rId1"/>
  <ignoredErrors>
    <ignoredError sqref="E6" evalError="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7">
    <pageSetUpPr fitToPage="1"/>
  </sheetPr>
  <dimension ref="A1:V75"/>
  <sheetViews>
    <sheetView zoomScaleNormal="100" workbookViewId="0">
      <pane xSplit="2" ySplit="6" topLeftCell="C7" activePane="bottomRight" state="frozen"/>
      <selection pane="topRight" activeCell="C1" sqref="C1"/>
      <selection pane="bottomLeft" activeCell="A7" sqref="A7"/>
      <selection pane="bottomRight" activeCell="F7" sqref="F7"/>
    </sheetView>
  </sheetViews>
  <sheetFormatPr defaultColWidth="9.28515625" defaultRowHeight="15" x14ac:dyDescent="0.25"/>
  <cols>
    <col min="1" max="1" width="8.42578125" style="183" customWidth="1"/>
    <col min="2" max="2" width="13.85546875" style="56" bestFit="1" customWidth="1"/>
    <col min="3" max="3" width="1.7109375" style="65" customWidth="1"/>
    <col min="4" max="4" width="14.28515625" style="56" bestFit="1" customWidth="1"/>
    <col min="5" max="5" width="10" style="60" bestFit="1" customWidth="1"/>
    <col min="6" max="6" width="14.7109375" style="185" bestFit="1" customWidth="1"/>
    <col min="7" max="7" width="1.7109375" style="65" customWidth="1"/>
    <col min="8" max="8" width="12.140625" style="185" bestFit="1" customWidth="1"/>
    <col min="9" max="9" width="9.140625" style="185" customWidth="1"/>
    <col min="10" max="11" width="12.5703125" style="183" bestFit="1" customWidth="1"/>
    <col min="12" max="12" width="1.7109375" style="65" customWidth="1"/>
    <col min="13" max="13" width="13" style="185" customWidth="1"/>
    <col min="14" max="15" width="10.7109375" style="183" hidden="1" customWidth="1"/>
    <col min="16" max="16" width="12.85546875" style="183" hidden="1" customWidth="1"/>
    <col min="17" max="17" width="14" style="183" hidden="1" customWidth="1"/>
    <col min="18" max="18" width="9" style="183" hidden="1" customWidth="1"/>
    <col min="19" max="19" width="12.140625" style="183" hidden="1" customWidth="1"/>
    <col min="20" max="20" width="13.42578125" style="183" hidden="1" customWidth="1"/>
    <col min="21" max="16384" width="9.28515625" style="183"/>
  </cols>
  <sheetData>
    <row r="1" spans="1:20" ht="23.65" customHeight="1" x14ac:dyDescent="0.25">
      <c r="A1" s="187" t="s">
        <v>190</v>
      </c>
      <c r="C1" s="54"/>
      <c r="G1" s="54"/>
      <c r="L1" s="54"/>
    </row>
    <row r="2" spans="1:20" ht="16.5" customHeight="1" x14ac:dyDescent="0.25">
      <c r="A2" s="188" t="s">
        <v>208</v>
      </c>
      <c r="C2" s="54"/>
      <c r="G2" s="54"/>
      <c r="L2" s="54"/>
    </row>
    <row r="3" spans="1:20" ht="16.5" customHeight="1" x14ac:dyDescent="0.25">
      <c r="C3" s="54"/>
      <c r="G3" s="54"/>
      <c r="L3" s="54"/>
    </row>
    <row r="4" spans="1:20" ht="16.5" customHeight="1" x14ac:dyDescent="0.25">
      <c r="A4" s="342"/>
      <c r="B4" s="342"/>
      <c r="C4" s="86"/>
      <c r="D4" s="342"/>
      <c r="E4" s="342"/>
      <c r="G4" s="86"/>
      <c r="H4" s="317" t="s">
        <v>96</v>
      </c>
      <c r="I4" s="318"/>
      <c r="J4" s="318"/>
      <c r="K4" s="318"/>
      <c r="L4" s="86"/>
      <c r="N4" s="346"/>
      <c r="O4" s="346"/>
      <c r="P4" s="346"/>
      <c r="Q4" s="346"/>
      <c r="R4" s="346"/>
      <c r="S4" s="346"/>
      <c r="T4" s="192"/>
    </row>
    <row r="5" spans="1:20" ht="67.150000000000006" customHeight="1" x14ac:dyDescent="0.25">
      <c r="A5" s="343" t="s">
        <v>68</v>
      </c>
      <c r="B5" s="344" t="s">
        <v>63</v>
      </c>
      <c r="C5" s="86"/>
      <c r="D5" s="10" t="s">
        <v>188</v>
      </c>
      <c r="E5" s="11" t="s">
        <v>97</v>
      </c>
      <c r="F5" s="11" t="s">
        <v>191</v>
      </c>
      <c r="G5" s="86"/>
      <c r="H5" s="79" t="s">
        <v>75</v>
      </c>
      <c r="I5" s="79" t="s">
        <v>192</v>
      </c>
      <c r="J5" s="79" t="s">
        <v>196</v>
      </c>
      <c r="K5" s="79" t="s">
        <v>193</v>
      </c>
      <c r="L5" s="86"/>
      <c r="M5" s="78" t="s">
        <v>195</v>
      </c>
      <c r="N5" s="191" t="s">
        <v>78</v>
      </c>
      <c r="O5" s="191" t="s">
        <v>79</v>
      </c>
      <c r="P5" s="193" t="s">
        <v>111</v>
      </c>
      <c r="Q5" s="193" t="s">
        <v>94</v>
      </c>
      <c r="R5" s="193" t="s">
        <v>82</v>
      </c>
      <c r="S5" s="191" t="s">
        <v>95</v>
      </c>
      <c r="T5" s="191" t="s">
        <v>99</v>
      </c>
    </row>
    <row r="6" spans="1:20" x14ac:dyDescent="0.25">
      <c r="A6" s="343"/>
      <c r="B6" s="344"/>
      <c r="C6" s="86"/>
      <c r="D6" s="83" t="s">
        <v>65</v>
      </c>
      <c r="E6" s="83" t="s">
        <v>1</v>
      </c>
      <c r="F6" s="83" t="s">
        <v>66</v>
      </c>
      <c r="G6" s="86"/>
      <c r="H6" s="83" t="s">
        <v>2</v>
      </c>
      <c r="I6" s="83" t="s">
        <v>3</v>
      </c>
      <c r="J6" s="83" t="s">
        <v>83</v>
      </c>
      <c r="K6" s="83" t="s">
        <v>114</v>
      </c>
      <c r="L6" s="86"/>
      <c r="M6" s="83" t="s">
        <v>84</v>
      </c>
      <c r="N6" s="191"/>
      <c r="O6" s="191"/>
      <c r="P6" s="193"/>
      <c r="Q6" s="193"/>
      <c r="R6" s="193"/>
      <c r="S6" s="191"/>
      <c r="T6" s="191"/>
    </row>
    <row r="7" spans="1:20" s="56" customFormat="1" ht="16.5" customHeight="1" x14ac:dyDescent="0.25">
      <c r="A7" s="69">
        <v>4</v>
      </c>
      <c r="B7" s="70" t="s">
        <v>53</v>
      </c>
      <c r="C7" s="87"/>
      <c r="D7" s="206">
        <f>VLOOKUP(B7,'WF Need'!$B$7:$AB$64,27, FALSE)</f>
        <v>91263263.98601386</v>
      </c>
      <c r="E7" s="97">
        <f>D7/$D$65</f>
        <v>3.3136552824127863E-2</v>
      </c>
      <c r="F7" s="275" t="e">
        <f>#REF!</f>
        <v>#REF!</v>
      </c>
      <c r="G7" s="87"/>
      <c r="H7" s="207" t="e">
        <f>IF(F7&lt;Floors!$E$4,Floors!$E$4, "-")</f>
        <v>#REF!</v>
      </c>
      <c r="I7" s="69" t="e">
        <f>IF(H7=800000,"Y","N")</f>
        <v>#REF!</v>
      </c>
      <c r="J7" s="204" t="e">
        <f>IF(I7="Y",VLOOKUP(B7,#REF!,2,FALSE)*1.1,"N/A ")</f>
        <v>#REF!</v>
      </c>
      <c r="K7" s="204" t="e">
        <f t="shared" ref="K7:K64" si="0">IF(I7="Y",F7, "N/A ")</f>
        <v>#REF!</v>
      </c>
      <c r="L7" s="87"/>
      <c r="M7" s="204" t="e">
        <f>IF(I7="Y",IF(H7=750000,750000,O7),"N/A")</f>
        <v>#REF!</v>
      </c>
      <c r="N7" s="194" t="e">
        <f t="shared" ref="N7:N64" si="1">IF(J7&lt;H7,J7,H7)</f>
        <v>#REF!</v>
      </c>
      <c r="O7" s="192" t="e">
        <f t="shared" ref="O7:O64" si="2">IF(K7&gt;N7,K7,N7)</f>
        <v>#REF!</v>
      </c>
      <c r="P7" s="194" t="e">
        <f>IF(M7="n/a",(IF(AND(H7=750000,(F7&gt;750000)), H7-F7, 0)),M7-F7)</f>
        <v>#REF!</v>
      </c>
      <c r="Q7" s="194" t="e">
        <f>IF(AND(P7=0,I7="N"),F7,0)</f>
        <v>#REF!</v>
      </c>
      <c r="R7" s="195" t="e">
        <f>Q7/$Q$65</f>
        <v>#REF!</v>
      </c>
      <c r="S7" s="194" t="e">
        <f>IF(P7=0,-R7*$P$65,0)</f>
        <v>#REF!</v>
      </c>
      <c r="T7" s="194" t="e">
        <f>IF(P7=0,-R7*$P$65,P7)</f>
        <v>#REF!</v>
      </c>
    </row>
    <row r="8" spans="1:20" s="56" customFormat="1" ht="16.5" customHeight="1" x14ac:dyDescent="0.25">
      <c r="A8" s="69">
        <v>1</v>
      </c>
      <c r="B8" s="70" t="s">
        <v>4</v>
      </c>
      <c r="C8" s="86"/>
      <c r="D8" s="201">
        <f>VLOOKUP(B8,'WF Need'!$B$7:$AB$64,27, FALSE)</f>
        <v>436233.26812475082</v>
      </c>
      <c r="E8" s="97">
        <f t="shared" ref="E8:E64" si="3">D8/$D$65</f>
        <v>1.5839085850658392E-4</v>
      </c>
      <c r="F8" s="9" t="e">
        <f>#REF!</f>
        <v>#REF!</v>
      </c>
      <c r="G8" s="86"/>
      <c r="H8" s="207" t="e">
        <f>IF(F8&lt;Floors!$E$4,Floors!$E$4, "-")</f>
        <v>#REF!</v>
      </c>
      <c r="I8" s="69" t="e">
        <f t="shared" ref="I8:I64" si="4">IF(H8=800000,"Y","N")</f>
        <v>#REF!</v>
      </c>
      <c r="J8" s="204" t="e">
        <f>IF(I8="Y",VLOOKUP(B8,#REF!,2,FALSE)*1.1,"N/A ")</f>
        <v>#REF!</v>
      </c>
      <c r="K8" s="204" t="e">
        <f>IF(I8="Y",F8, "N/A ")</f>
        <v>#REF!</v>
      </c>
      <c r="L8" s="86"/>
      <c r="M8" s="204" t="e">
        <f t="shared" ref="M8:M64" si="5">IF(I8="Y",IF(H8=750000,750000,O8),"N/A")</f>
        <v>#REF!</v>
      </c>
      <c r="N8" s="194" t="e">
        <f>IF(J8&lt;H8,J8,H8)</f>
        <v>#REF!</v>
      </c>
      <c r="O8" s="192" t="e">
        <f>IF(K8&gt;N8,K8,N8)</f>
        <v>#REF!</v>
      </c>
      <c r="P8" s="194" t="e">
        <f>IF(M8="n/a",(IF(AND(H8=750000,(F8&gt;750000)), H8-F8, 0)),M8-F8)</f>
        <v>#REF!</v>
      </c>
      <c r="Q8" s="194" t="e">
        <f t="shared" ref="Q8:Q64" si="6">IF(AND(P8=0,I8="N"),F8,0)</f>
        <v>#REF!</v>
      </c>
      <c r="R8" s="195" t="e">
        <f>Q8/$Q$65</f>
        <v>#REF!</v>
      </c>
      <c r="S8" s="194" t="e">
        <f>IF(P8=0,-R8*$P$65,0)</f>
        <v>#REF!</v>
      </c>
      <c r="T8" s="194" t="e">
        <f>IF(P8=0,-R8*$P$65,P8)</f>
        <v>#REF!</v>
      </c>
    </row>
    <row r="9" spans="1:20" s="56" customFormat="1" ht="16.5" customHeight="1" x14ac:dyDescent="0.25">
      <c r="A9" s="69">
        <v>1</v>
      </c>
      <c r="B9" s="70" t="s">
        <v>5</v>
      </c>
      <c r="D9" s="201">
        <f>VLOOKUP(B9,'WF Need'!$B$7:$AB$64,27, FALSE)</f>
        <v>4104927.0630412395</v>
      </c>
      <c r="E9" s="97">
        <f t="shared" si="3"/>
        <v>1.4904478157224759E-3</v>
      </c>
      <c r="F9" s="9" t="e">
        <f>#REF!</f>
        <v>#REF!</v>
      </c>
      <c r="H9" s="207" t="e">
        <f>IF(F9&lt;Floors!$E$4,Floors!$E$4, "-")</f>
        <v>#REF!</v>
      </c>
      <c r="I9" s="69" t="e">
        <f t="shared" si="4"/>
        <v>#REF!</v>
      </c>
      <c r="J9" s="204" t="e">
        <f>IF(I9="Y",VLOOKUP(B9,#REF!,2,FALSE)*1.1,"N/A ")</f>
        <v>#REF!</v>
      </c>
      <c r="K9" s="204" t="e">
        <f t="shared" si="0"/>
        <v>#REF!</v>
      </c>
      <c r="M9" s="204" t="e">
        <f t="shared" si="5"/>
        <v>#REF!</v>
      </c>
      <c r="N9" s="194" t="e">
        <f t="shared" si="1"/>
        <v>#REF!</v>
      </c>
      <c r="O9" s="192" t="e">
        <f t="shared" si="2"/>
        <v>#REF!</v>
      </c>
      <c r="P9" s="194" t="e">
        <f t="shared" ref="P9:P27" si="7">IF(M9="n/a",(IF(AND(H9=750000,(F9&gt;750000)), H9-F9, 0)),M9-F9)</f>
        <v>#REF!</v>
      </c>
      <c r="Q9" s="194" t="e">
        <f t="shared" si="6"/>
        <v>#REF!</v>
      </c>
      <c r="R9" s="195" t="e">
        <f t="shared" ref="R9:R64" si="8">Q9/$Q$65</f>
        <v>#REF!</v>
      </c>
      <c r="S9" s="194" t="e">
        <f t="shared" ref="S9:S64" si="9">IF(P9=0,-R9*$P$65,0)</f>
        <v>#REF!</v>
      </c>
      <c r="T9" s="194" t="e">
        <f t="shared" ref="T9:T64" si="10">IF(P9=0,-R9*$P$65,P9)</f>
        <v>#REF!</v>
      </c>
    </row>
    <row r="10" spans="1:20" s="56" customFormat="1" ht="16.5" customHeight="1" x14ac:dyDescent="0.25">
      <c r="A10" s="69">
        <v>2</v>
      </c>
      <c r="B10" s="70" t="s">
        <v>19</v>
      </c>
      <c r="D10" s="201">
        <f>VLOOKUP(B10,'WF Need'!$B$7:$AB$64,27, FALSE)</f>
        <v>15499672.570690038</v>
      </c>
      <c r="E10" s="97">
        <f t="shared" si="3"/>
        <v>5.6277377825766388E-3</v>
      </c>
      <c r="F10" s="9" t="e">
        <f>#REF!</f>
        <v>#REF!</v>
      </c>
      <c r="H10" s="207" t="e">
        <f>IF(F10&lt;Floors!$E$4,Floors!$E$4, "-")</f>
        <v>#REF!</v>
      </c>
      <c r="I10" s="69" t="e">
        <f t="shared" si="4"/>
        <v>#REF!</v>
      </c>
      <c r="J10" s="204" t="e">
        <f>IF(I10="Y",VLOOKUP(B10,#REF!,2,FALSE)*1.1,"N/A ")</f>
        <v>#REF!</v>
      </c>
      <c r="K10" s="204" t="e">
        <f t="shared" si="0"/>
        <v>#REF!</v>
      </c>
      <c r="M10" s="204" t="e">
        <f t="shared" si="5"/>
        <v>#REF!</v>
      </c>
      <c r="N10" s="194" t="e">
        <f t="shared" si="1"/>
        <v>#REF!</v>
      </c>
      <c r="O10" s="192" t="e">
        <f t="shared" si="2"/>
        <v>#REF!</v>
      </c>
      <c r="P10" s="194" t="e">
        <f t="shared" si="7"/>
        <v>#REF!</v>
      </c>
      <c r="Q10" s="194" t="e">
        <f t="shared" si="6"/>
        <v>#REF!</v>
      </c>
      <c r="R10" s="195" t="e">
        <f t="shared" si="8"/>
        <v>#REF!</v>
      </c>
      <c r="S10" s="194" t="e">
        <f t="shared" si="9"/>
        <v>#REF!</v>
      </c>
      <c r="T10" s="194" t="e">
        <f t="shared" si="10"/>
        <v>#REF!</v>
      </c>
    </row>
    <row r="11" spans="1:20" s="56" customFormat="1" ht="16.5" customHeight="1" x14ac:dyDescent="0.25">
      <c r="A11" s="69">
        <v>1</v>
      </c>
      <c r="B11" s="70" t="s">
        <v>6</v>
      </c>
      <c r="D11" s="201">
        <f>VLOOKUP(B11,'WF Need'!$B$7:$AB$64,27, FALSE)</f>
        <v>3034382.6469259844</v>
      </c>
      <c r="E11" s="97">
        <f t="shared" si="3"/>
        <v>1.1017464911608791E-3</v>
      </c>
      <c r="F11" s="9" t="e">
        <f>#REF!</f>
        <v>#REF!</v>
      </c>
      <c r="H11" s="207" t="e">
        <f>IF(F11&lt;Floors!$E$4,Floors!$E$4, "-")</f>
        <v>#REF!</v>
      </c>
      <c r="I11" s="69" t="e">
        <f t="shared" si="4"/>
        <v>#REF!</v>
      </c>
      <c r="J11" s="204" t="e">
        <f>IF(I11="Y",VLOOKUP(B11,#REF!,2,FALSE)*1.1,"N/A ")</f>
        <v>#REF!</v>
      </c>
      <c r="K11" s="204" t="e">
        <f t="shared" si="0"/>
        <v>#REF!</v>
      </c>
      <c r="M11" s="204" t="e">
        <f t="shared" si="5"/>
        <v>#REF!</v>
      </c>
      <c r="N11" s="194" t="e">
        <f t="shared" si="1"/>
        <v>#REF!</v>
      </c>
      <c r="O11" s="192" t="e">
        <f t="shared" si="2"/>
        <v>#REF!</v>
      </c>
      <c r="P11" s="194" t="e">
        <f t="shared" si="7"/>
        <v>#REF!</v>
      </c>
      <c r="Q11" s="194" t="e">
        <f t="shared" si="6"/>
        <v>#REF!</v>
      </c>
      <c r="R11" s="195" t="e">
        <f t="shared" si="8"/>
        <v>#REF!</v>
      </c>
      <c r="S11" s="194" t="e">
        <f t="shared" si="9"/>
        <v>#REF!</v>
      </c>
      <c r="T11" s="194" t="e">
        <f t="shared" si="10"/>
        <v>#REF!</v>
      </c>
    </row>
    <row r="12" spans="1:20" s="56" customFormat="1" ht="16.5" customHeight="1" x14ac:dyDescent="0.25">
      <c r="A12" s="69">
        <v>1</v>
      </c>
      <c r="B12" s="70" t="s">
        <v>7</v>
      </c>
      <c r="C12" s="88"/>
      <c r="D12" s="201">
        <f>VLOOKUP(B12,'WF Need'!$B$7:$AB$64,27, FALSE)</f>
        <v>2415621.0665193587</v>
      </c>
      <c r="E12" s="97">
        <f t="shared" si="3"/>
        <v>8.7708187914538977E-4</v>
      </c>
      <c r="F12" s="9" t="e">
        <f>#REF!</f>
        <v>#REF!</v>
      </c>
      <c r="G12" s="88"/>
      <c r="H12" s="207" t="e">
        <f>IF(F12&lt;Floors!$E$4,Floors!$E$4, "-")</f>
        <v>#REF!</v>
      </c>
      <c r="I12" s="69" t="e">
        <f t="shared" si="4"/>
        <v>#REF!</v>
      </c>
      <c r="J12" s="204" t="e">
        <f>IF(I12="Y",VLOOKUP(B12,#REF!,2,FALSE)*1.1,"N/A ")</f>
        <v>#REF!</v>
      </c>
      <c r="K12" s="204" t="e">
        <f t="shared" si="0"/>
        <v>#REF!</v>
      </c>
      <c r="L12" s="88"/>
      <c r="M12" s="204" t="e">
        <f t="shared" si="5"/>
        <v>#REF!</v>
      </c>
      <c r="N12" s="194" t="e">
        <f t="shared" si="1"/>
        <v>#REF!</v>
      </c>
      <c r="O12" s="192" t="e">
        <f>IF(K12&gt;N12,K12,N12)</f>
        <v>#REF!</v>
      </c>
      <c r="P12" s="194" t="e">
        <f t="shared" si="7"/>
        <v>#REF!</v>
      </c>
      <c r="Q12" s="194" t="e">
        <f t="shared" si="6"/>
        <v>#REF!</v>
      </c>
      <c r="R12" s="195" t="e">
        <f t="shared" si="8"/>
        <v>#REF!</v>
      </c>
      <c r="S12" s="194" t="e">
        <f t="shared" si="9"/>
        <v>#REF!</v>
      </c>
      <c r="T12" s="194" t="e">
        <f t="shared" si="10"/>
        <v>#REF!</v>
      </c>
    </row>
    <row r="13" spans="1:20" s="56" customFormat="1" ht="16.5" customHeight="1" x14ac:dyDescent="0.25">
      <c r="A13" s="69">
        <v>3</v>
      </c>
      <c r="B13" s="70" t="s">
        <v>41</v>
      </c>
      <c r="D13" s="201">
        <f>VLOOKUP(B13,'WF Need'!$B$7:$AB$64,27, FALSE)</f>
        <v>59635536.461442783</v>
      </c>
      <c r="E13" s="97">
        <f t="shared" si="3"/>
        <v>2.1652919453468623E-2</v>
      </c>
      <c r="F13" s="9" t="e">
        <f>#REF!</f>
        <v>#REF!</v>
      </c>
      <c r="H13" s="207" t="e">
        <f>IF(F13&lt;Floors!$E$4,Floors!$E$4, "-")</f>
        <v>#REF!</v>
      </c>
      <c r="I13" s="69" t="e">
        <f t="shared" si="4"/>
        <v>#REF!</v>
      </c>
      <c r="J13" s="204" t="e">
        <f>IF(I13="Y",VLOOKUP(B13,#REF!,2,FALSE)*1.1,"N/A ")</f>
        <v>#REF!</v>
      </c>
      <c r="K13" s="204" t="e">
        <f t="shared" si="0"/>
        <v>#REF!</v>
      </c>
      <c r="M13" s="204" t="e">
        <f t="shared" si="5"/>
        <v>#REF!</v>
      </c>
      <c r="N13" s="194" t="e">
        <f t="shared" si="1"/>
        <v>#REF!</v>
      </c>
      <c r="O13" s="192" t="e">
        <f t="shared" si="2"/>
        <v>#REF!</v>
      </c>
      <c r="P13" s="194" t="e">
        <f t="shared" si="7"/>
        <v>#REF!</v>
      </c>
      <c r="Q13" s="194" t="e">
        <f t="shared" si="6"/>
        <v>#REF!</v>
      </c>
      <c r="R13" s="195" t="e">
        <f t="shared" si="8"/>
        <v>#REF!</v>
      </c>
      <c r="S13" s="194" t="e">
        <f t="shared" si="9"/>
        <v>#REF!</v>
      </c>
      <c r="T13" s="194" t="e">
        <f t="shared" si="10"/>
        <v>#REF!</v>
      </c>
    </row>
    <row r="14" spans="1:20" s="56" customFormat="1" ht="16.5" customHeight="1" x14ac:dyDescent="0.25">
      <c r="A14" s="69">
        <v>1</v>
      </c>
      <c r="B14" s="70" t="s">
        <v>8</v>
      </c>
      <c r="D14" s="201">
        <f>VLOOKUP(B14,'WF Need'!$B$7:$AB$64,27, FALSE)</f>
        <v>3448590.8234421331</v>
      </c>
      <c r="E14" s="97">
        <f t="shared" si="3"/>
        <v>1.2521403136239511E-3</v>
      </c>
      <c r="F14" s="9" t="e">
        <f>#REF!</f>
        <v>#REF!</v>
      </c>
      <c r="H14" s="207" t="e">
        <f>IF(F14&lt;Floors!$E$4,Floors!$E$4, "-")</f>
        <v>#REF!</v>
      </c>
      <c r="I14" s="69" t="e">
        <f t="shared" si="4"/>
        <v>#REF!</v>
      </c>
      <c r="J14" s="204" t="e">
        <f>IF(I14="Y",VLOOKUP(B14,#REF!,2,FALSE)*1.1,"N/A ")</f>
        <v>#REF!</v>
      </c>
      <c r="K14" s="204" t="e">
        <f t="shared" si="0"/>
        <v>#REF!</v>
      </c>
      <c r="M14" s="204" t="e">
        <f t="shared" si="5"/>
        <v>#REF!</v>
      </c>
      <c r="N14" s="194" t="e">
        <f t="shared" si="1"/>
        <v>#REF!</v>
      </c>
      <c r="O14" s="192" t="e">
        <f t="shared" si="2"/>
        <v>#REF!</v>
      </c>
      <c r="P14" s="194" t="e">
        <f t="shared" si="7"/>
        <v>#REF!</v>
      </c>
      <c r="Q14" s="194" t="e">
        <f t="shared" si="6"/>
        <v>#REF!</v>
      </c>
      <c r="R14" s="195" t="e">
        <f t="shared" si="8"/>
        <v>#REF!</v>
      </c>
      <c r="S14" s="194" t="e">
        <f t="shared" si="9"/>
        <v>#REF!</v>
      </c>
      <c r="T14" s="194" t="e">
        <f t="shared" si="10"/>
        <v>#REF!</v>
      </c>
    </row>
    <row r="15" spans="1:20" s="56" customFormat="1" ht="16.5" customHeight="1" x14ac:dyDescent="0.25">
      <c r="A15" s="69">
        <v>2</v>
      </c>
      <c r="B15" s="70" t="s">
        <v>20</v>
      </c>
      <c r="D15" s="201">
        <f>VLOOKUP(B15,'WF Need'!$B$7:$AB$64,27, FALSE)</f>
        <v>10324368.334335973</v>
      </c>
      <c r="E15" s="97">
        <f t="shared" si="3"/>
        <v>3.7486493660681048E-3</v>
      </c>
      <c r="F15" s="9" t="e">
        <f>#REF!</f>
        <v>#REF!</v>
      </c>
      <c r="H15" s="207" t="e">
        <f>IF(F15&lt;Floors!$E$4,Floors!$E$4, "-")</f>
        <v>#REF!</v>
      </c>
      <c r="I15" s="69" t="e">
        <f t="shared" si="4"/>
        <v>#REF!</v>
      </c>
      <c r="J15" s="204" t="e">
        <f>IF(I15="Y",VLOOKUP(B15,#REF!,2,FALSE)*1.1,"N/A ")</f>
        <v>#REF!</v>
      </c>
      <c r="K15" s="204" t="e">
        <f t="shared" si="0"/>
        <v>#REF!</v>
      </c>
      <c r="M15" s="204" t="e">
        <f t="shared" si="5"/>
        <v>#REF!</v>
      </c>
      <c r="N15" s="194" t="e">
        <f t="shared" si="1"/>
        <v>#REF!</v>
      </c>
      <c r="O15" s="192" t="e">
        <f t="shared" si="2"/>
        <v>#REF!</v>
      </c>
      <c r="P15" s="194" t="e">
        <f t="shared" si="7"/>
        <v>#REF!</v>
      </c>
      <c r="Q15" s="194" t="e">
        <f t="shared" si="6"/>
        <v>#REF!</v>
      </c>
      <c r="R15" s="195" t="e">
        <f t="shared" si="8"/>
        <v>#REF!</v>
      </c>
      <c r="S15" s="194" t="e">
        <f t="shared" si="9"/>
        <v>#REF!</v>
      </c>
      <c r="T15" s="194" t="e">
        <f t="shared" si="10"/>
        <v>#REF!</v>
      </c>
    </row>
    <row r="16" spans="1:20" s="56" customFormat="1" ht="16.5" customHeight="1" x14ac:dyDescent="0.25">
      <c r="A16" s="69">
        <v>3</v>
      </c>
      <c r="B16" s="70" t="s">
        <v>42</v>
      </c>
      <c r="D16" s="201">
        <f>VLOOKUP(B16,'WF Need'!$B$7:$AB$64,27, FALSE)</f>
        <v>75332816.091166273</v>
      </c>
      <c r="E16" s="97">
        <f t="shared" si="3"/>
        <v>2.7352405894422043E-2</v>
      </c>
      <c r="F16" s="9" t="e">
        <f>#REF!</f>
        <v>#REF!</v>
      </c>
      <c r="H16" s="207" t="e">
        <f>IF(F16&lt;Floors!$E$4,Floors!$E$4, "-")</f>
        <v>#REF!</v>
      </c>
      <c r="I16" s="69" t="e">
        <f t="shared" si="4"/>
        <v>#REF!</v>
      </c>
      <c r="J16" s="204" t="e">
        <f>IF(I16="Y",VLOOKUP(B16,#REF!,2,FALSE)*1.1,"N/A ")</f>
        <v>#REF!</v>
      </c>
      <c r="K16" s="204" t="e">
        <f t="shared" si="0"/>
        <v>#REF!</v>
      </c>
      <c r="M16" s="204" t="e">
        <f t="shared" si="5"/>
        <v>#REF!</v>
      </c>
      <c r="N16" s="194" t="e">
        <f t="shared" si="1"/>
        <v>#REF!</v>
      </c>
      <c r="O16" s="192" t="e">
        <f t="shared" si="2"/>
        <v>#REF!</v>
      </c>
      <c r="P16" s="194" t="e">
        <f t="shared" si="7"/>
        <v>#REF!</v>
      </c>
      <c r="Q16" s="194" t="e">
        <f t="shared" si="6"/>
        <v>#REF!</v>
      </c>
      <c r="R16" s="195" t="e">
        <f t="shared" si="8"/>
        <v>#REF!</v>
      </c>
      <c r="S16" s="194" t="e">
        <f t="shared" si="9"/>
        <v>#REF!</v>
      </c>
      <c r="T16" s="194" t="e">
        <f t="shared" si="10"/>
        <v>#REF!</v>
      </c>
    </row>
    <row r="17" spans="1:20" s="56" customFormat="1" ht="16.5" customHeight="1" x14ac:dyDescent="0.25">
      <c r="A17" s="69">
        <v>1</v>
      </c>
      <c r="B17" s="70" t="s">
        <v>9</v>
      </c>
      <c r="D17" s="201">
        <f>VLOOKUP(B17,'WF Need'!$B$7:$AB$64,27, FALSE)</f>
        <v>2676801.1571440799</v>
      </c>
      <c r="E17" s="97">
        <f t="shared" si="3"/>
        <v>9.7191311234479517E-4</v>
      </c>
      <c r="F17" s="9" t="e">
        <f>#REF!</f>
        <v>#REF!</v>
      </c>
      <c r="H17" s="207" t="e">
        <f>IF(F17&lt;Floors!$E$4,Floors!$E$4, "-")</f>
        <v>#REF!</v>
      </c>
      <c r="I17" s="69" t="e">
        <f t="shared" si="4"/>
        <v>#REF!</v>
      </c>
      <c r="J17" s="204" t="e">
        <f>IF(I17="Y",VLOOKUP(B17,#REF!,2,FALSE)*1.1,"N/A ")</f>
        <v>#REF!</v>
      </c>
      <c r="K17" s="204" t="e">
        <f t="shared" si="0"/>
        <v>#REF!</v>
      </c>
      <c r="M17" s="204" t="e">
        <f t="shared" si="5"/>
        <v>#REF!</v>
      </c>
      <c r="N17" s="194" t="e">
        <f t="shared" si="1"/>
        <v>#REF!</v>
      </c>
      <c r="O17" s="192" t="e">
        <f t="shared" si="2"/>
        <v>#REF!</v>
      </c>
      <c r="P17" s="194" t="e">
        <f t="shared" si="7"/>
        <v>#REF!</v>
      </c>
      <c r="Q17" s="194" t="e">
        <f t="shared" si="6"/>
        <v>#REF!</v>
      </c>
      <c r="R17" s="195" t="e">
        <f t="shared" si="8"/>
        <v>#REF!</v>
      </c>
      <c r="S17" s="194" t="e">
        <f t="shared" si="9"/>
        <v>#REF!</v>
      </c>
      <c r="T17" s="194" t="e">
        <f t="shared" si="10"/>
        <v>#REF!</v>
      </c>
    </row>
    <row r="18" spans="1:20" s="56" customFormat="1" ht="16.5" customHeight="1" x14ac:dyDescent="0.25">
      <c r="A18" s="69">
        <v>2</v>
      </c>
      <c r="B18" s="70" t="s">
        <v>21</v>
      </c>
      <c r="C18" s="88"/>
      <c r="D18" s="201">
        <f>VLOOKUP(B18,'WF Need'!$B$7:$AB$64,27, FALSE)</f>
        <v>9021637.1317627095</v>
      </c>
      <c r="E18" s="97">
        <f t="shared" si="3"/>
        <v>3.2756439154157579E-3</v>
      </c>
      <c r="F18" s="9" t="e">
        <f>#REF!</f>
        <v>#REF!</v>
      </c>
      <c r="G18" s="88"/>
      <c r="H18" s="207" t="e">
        <f>IF(F18&lt;Floors!$E$4,Floors!$E$4, "-")</f>
        <v>#REF!</v>
      </c>
      <c r="I18" s="69" t="e">
        <f t="shared" si="4"/>
        <v>#REF!</v>
      </c>
      <c r="J18" s="204" t="e">
        <f>IF(I18="Y",VLOOKUP(B18,#REF!,2,FALSE)*1.1,"N/A ")</f>
        <v>#REF!</v>
      </c>
      <c r="K18" s="204" t="e">
        <f t="shared" si="0"/>
        <v>#REF!</v>
      </c>
      <c r="L18" s="88"/>
      <c r="M18" s="204" t="e">
        <f t="shared" si="5"/>
        <v>#REF!</v>
      </c>
      <c r="N18" s="194" t="e">
        <f t="shared" si="1"/>
        <v>#REF!</v>
      </c>
      <c r="O18" s="192" t="e">
        <f t="shared" si="2"/>
        <v>#REF!</v>
      </c>
      <c r="P18" s="194" t="e">
        <f t="shared" si="7"/>
        <v>#REF!</v>
      </c>
      <c r="Q18" s="194" t="e">
        <f t="shared" si="6"/>
        <v>#REF!</v>
      </c>
      <c r="R18" s="195" t="e">
        <f t="shared" si="8"/>
        <v>#REF!</v>
      </c>
      <c r="S18" s="194" t="e">
        <f t="shared" si="9"/>
        <v>#REF!</v>
      </c>
      <c r="T18" s="194" t="e">
        <f t="shared" si="10"/>
        <v>#REF!</v>
      </c>
    </row>
    <row r="19" spans="1:20" s="56" customFormat="1" ht="16.5" customHeight="1" x14ac:dyDescent="0.25">
      <c r="A19" s="69">
        <v>2</v>
      </c>
      <c r="B19" s="70" t="s">
        <v>22</v>
      </c>
      <c r="D19" s="201">
        <f>VLOOKUP(B19,'WF Need'!$B$7:$AB$64,27, FALSE)</f>
        <v>9738693.0156134423</v>
      </c>
      <c r="E19" s="97">
        <f t="shared" si="3"/>
        <v>3.5359979629842608E-3</v>
      </c>
      <c r="F19" s="9" t="e">
        <f>#REF!</f>
        <v>#REF!</v>
      </c>
      <c r="H19" s="207" t="e">
        <f>IF(F19&lt;Floors!$E$4,Floors!$E$4, "-")</f>
        <v>#REF!</v>
      </c>
      <c r="I19" s="69" t="e">
        <f t="shared" si="4"/>
        <v>#REF!</v>
      </c>
      <c r="J19" s="204" t="e">
        <f>IF(I19="Y",VLOOKUP(B19,#REF!,2,FALSE)*1.1,"N/A ")</f>
        <v>#REF!</v>
      </c>
      <c r="K19" s="204" t="e">
        <f t="shared" si="0"/>
        <v>#REF!</v>
      </c>
      <c r="M19" s="204" t="e">
        <f t="shared" si="5"/>
        <v>#REF!</v>
      </c>
      <c r="N19" s="194" t="e">
        <f t="shared" si="1"/>
        <v>#REF!</v>
      </c>
      <c r="O19" s="192" t="e">
        <f t="shared" si="2"/>
        <v>#REF!</v>
      </c>
      <c r="P19" s="194" t="e">
        <f t="shared" si="7"/>
        <v>#REF!</v>
      </c>
      <c r="Q19" s="194" t="e">
        <f t="shared" si="6"/>
        <v>#REF!</v>
      </c>
      <c r="R19" s="195" t="e">
        <f t="shared" si="8"/>
        <v>#REF!</v>
      </c>
      <c r="S19" s="194" t="e">
        <f t="shared" si="9"/>
        <v>#REF!</v>
      </c>
      <c r="T19" s="194" t="e">
        <f t="shared" si="10"/>
        <v>#REF!</v>
      </c>
    </row>
    <row r="20" spans="1:20" s="56" customFormat="1" ht="16.5" customHeight="1" x14ac:dyDescent="0.25">
      <c r="A20" s="69">
        <v>1</v>
      </c>
      <c r="B20" s="70" t="s">
        <v>10</v>
      </c>
      <c r="D20" s="201">
        <f>VLOOKUP(B20,'WF Need'!$B$7:$AB$64,27, FALSE)</f>
        <v>2271352.2224028148</v>
      </c>
      <c r="E20" s="97">
        <f t="shared" si="3"/>
        <v>8.2469966131592056E-4</v>
      </c>
      <c r="F20" s="9" t="e">
        <f>#REF!</f>
        <v>#REF!</v>
      </c>
      <c r="H20" s="207" t="e">
        <f>IF(F20&lt;Floors!$E$4,Floors!$E$4, "-")</f>
        <v>#REF!</v>
      </c>
      <c r="I20" s="69" t="e">
        <f t="shared" si="4"/>
        <v>#REF!</v>
      </c>
      <c r="J20" s="204" t="e">
        <f>IF(I20="Y",VLOOKUP(B20,#REF!,2,FALSE)*1.1,"N/A ")</f>
        <v>#REF!</v>
      </c>
      <c r="K20" s="204" t="e">
        <f t="shared" si="0"/>
        <v>#REF!</v>
      </c>
      <c r="M20" s="204" t="e">
        <f t="shared" si="5"/>
        <v>#REF!</v>
      </c>
      <c r="N20" s="194" t="e">
        <f t="shared" si="1"/>
        <v>#REF!</v>
      </c>
      <c r="O20" s="192" t="e">
        <f t="shared" si="2"/>
        <v>#REF!</v>
      </c>
      <c r="P20" s="194" t="e">
        <f t="shared" si="7"/>
        <v>#REF!</v>
      </c>
      <c r="Q20" s="194" t="e">
        <f t="shared" si="6"/>
        <v>#REF!</v>
      </c>
      <c r="R20" s="195" t="e">
        <f t="shared" si="8"/>
        <v>#REF!</v>
      </c>
      <c r="S20" s="194" t="e">
        <f t="shared" si="9"/>
        <v>#REF!</v>
      </c>
      <c r="T20" s="194" t="e">
        <f t="shared" si="10"/>
        <v>#REF!</v>
      </c>
    </row>
    <row r="21" spans="1:20" s="56" customFormat="1" ht="16.5" customHeight="1" x14ac:dyDescent="0.25">
      <c r="A21" s="69">
        <v>3</v>
      </c>
      <c r="B21" s="70" t="s">
        <v>43</v>
      </c>
      <c r="D21" s="201">
        <f>VLOOKUP(B21,'WF Need'!$B$7:$AB$64,27, FALSE)</f>
        <v>73668735.186847121</v>
      </c>
      <c r="E21" s="97">
        <f t="shared" si="3"/>
        <v>2.6748198874190502E-2</v>
      </c>
      <c r="F21" s="9" t="e">
        <f>#REF!</f>
        <v>#REF!</v>
      </c>
      <c r="H21" s="207" t="e">
        <f>IF(F21&lt;Floors!$E$4,Floors!$E$4, "-")</f>
        <v>#REF!</v>
      </c>
      <c r="I21" s="69" t="e">
        <f t="shared" si="4"/>
        <v>#REF!</v>
      </c>
      <c r="J21" s="204" t="e">
        <f>IF(I21="Y",VLOOKUP(B21,#REF!,2,FALSE)*1.1,"N/A ")</f>
        <v>#REF!</v>
      </c>
      <c r="K21" s="204" t="e">
        <f t="shared" si="0"/>
        <v>#REF!</v>
      </c>
      <c r="M21" s="204" t="e">
        <f t="shared" si="5"/>
        <v>#REF!</v>
      </c>
      <c r="N21" s="194" t="e">
        <f t="shared" si="1"/>
        <v>#REF!</v>
      </c>
      <c r="O21" s="192" t="e">
        <f t="shared" si="2"/>
        <v>#REF!</v>
      </c>
      <c r="P21" s="194" t="e">
        <f t="shared" si="7"/>
        <v>#REF!</v>
      </c>
      <c r="Q21" s="194" t="e">
        <f t="shared" si="6"/>
        <v>#REF!</v>
      </c>
      <c r="R21" s="195" t="e">
        <f t="shared" si="8"/>
        <v>#REF!</v>
      </c>
      <c r="S21" s="194" t="e">
        <f t="shared" si="9"/>
        <v>#REF!</v>
      </c>
      <c r="T21" s="194" t="e">
        <f t="shared" si="10"/>
        <v>#REF!</v>
      </c>
    </row>
    <row r="22" spans="1:20" s="56" customFormat="1" ht="16.5" customHeight="1" x14ac:dyDescent="0.25">
      <c r="A22" s="69">
        <v>2</v>
      </c>
      <c r="B22" s="70" t="s">
        <v>23</v>
      </c>
      <c r="D22" s="201">
        <f>VLOOKUP(B22,'WF Need'!$B$7:$AB$64,27, FALSE)</f>
        <v>11675694.725025401</v>
      </c>
      <c r="E22" s="97">
        <f t="shared" si="3"/>
        <v>4.2392991233963168E-3</v>
      </c>
      <c r="F22" s="9" t="e">
        <f>#REF!</f>
        <v>#REF!</v>
      </c>
      <c r="H22" s="207" t="e">
        <f>IF(F22&lt;Floors!$E$4,Floors!$E$4, "-")</f>
        <v>#REF!</v>
      </c>
      <c r="I22" s="69" t="e">
        <f t="shared" si="4"/>
        <v>#REF!</v>
      </c>
      <c r="J22" s="204" t="e">
        <f>IF(I22="Y",VLOOKUP(B22,#REF!,2,FALSE)*1.1,"N/A ")</f>
        <v>#REF!</v>
      </c>
      <c r="K22" s="204" t="e">
        <f t="shared" si="0"/>
        <v>#REF!</v>
      </c>
      <c r="M22" s="204" t="e">
        <f t="shared" si="5"/>
        <v>#REF!</v>
      </c>
      <c r="N22" s="194" t="e">
        <f t="shared" si="1"/>
        <v>#REF!</v>
      </c>
      <c r="O22" s="192" t="e">
        <f t="shared" si="2"/>
        <v>#REF!</v>
      </c>
      <c r="P22" s="194" t="e">
        <f t="shared" si="7"/>
        <v>#REF!</v>
      </c>
      <c r="Q22" s="194" t="e">
        <f t="shared" si="6"/>
        <v>#REF!</v>
      </c>
      <c r="R22" s="195" t="e">
        <f t="shared" si="8"/>
        <v>#REF!</v>
      </c>
      <c r="S22" s="194" t="e">
        <f t="shared" si="9"/>
        <v>#REF!</v>
      </c>
      <c r="T22" s="194" t="e">
        <f t="shared" si="10"/>
        <v>#REF!</v>
      </c>
    </row>
    <row r="23" spans="1:20" s="56" customFormat="1" ht="16.5" customHeight="1" x14ac:dyDescent="0.25">
      <c r="A23" s="69">
        <v>2</v>
      </c>
      <c r="B23" s="70" t="s">
        <v>24</v>
      </c>
      <c r="D23" s="201">
        <f>VLOOKUP(B23,'WF Need'!$B$7:$AB$64,27, FALSE)</f>
        <v>5493217.0420673583</v>
      </c>
      <c r="E23" s="97">
        <f t="shared" si="3"/>
        <v>1.9945185909278898E-3</v>
      </c>
      <c r="F23" s="9" t="e">
        <f>#REF!</f>
        <v>#REF!</v>
      </c>
      <c r="H23" s="207" t="e">
        <f>IF(F23&lt;Floors!$E$4,Floors!$E$4, "-")</f>
        <v>#REF!</v>
      </c>
      <c r="I23" s="69" t="e">
        <f t="shared" si="4"/>
        <v>#REF!</v>
      </c>
      <c r="J23" s="204" t="e">
        <f>IF(I23="Y",VLOOKUP(B23,#REF!,2,FALSE)*1.1,"N/A ")</f>
        <v>#REF!</v>
      </c>
      <c r="K23" s="204" t="e">
        <f t="shared" si="0"/>
        <v>#REF!</v>
      </c>
      <c r="M23" s="204" t="e">
        <f t="shared" si="5"/>
        <v>#REF!</v>
      </c>
      <c r="N23" s="194" t="e">
        <f t="shared" si="1"/>
        <v>#REF!</v>
      </c>
      <c r="O23" s="192" t="e">
        <f t="shared" si="2"/>
        <v>#REF!</v>
      </c>
      <c r="P23" s="194" t="e">
        <f t="shared" si="7"/>
        <v>#REF!</v>
      </c>
      <c r="Q23" s="194" t="e">
        <f t="shared" si="6"/>
        <v>#REF!</v>
      </c>
      <c r="R23" s="195" t="e">
        <f t="shared" si="8"/>
        <v>#REF!</v>
      </c>
      <c r="S23" s="194" t="e">
        <f t="shared" si="9"/>
        <v>#REF!</v>
      </c>
      <c r="T23" s="194" t="e">
        <f t="shared" si="10"/>
        <v>#REF!</v>
      </c>
    </row>
    <row r="24" spans="1:20" s="56" customFormat="1" ht="16.5" customHeight="1" x14ac:dyDescent="0.25">
      <c r="A24" s="69">
        <v>1</v>
      </c>
      <c r="B24" s="70" t="s">
        <v>11</v>
      </c>
      <c r="D24" s="201">
        <f>VLOOKUP(B24,'WF Need'!$B$7:$AB$64,27, FALSE)</f>
        <v>2263343.559430887</v>
      </c>
      <c r="E24" s="97">
        <f t="shared" si="3"/>
        <v>8.2179181568308639E-4</v>
      </c>
      <c r="F24" s="9" t="e">
        <f>#REF!</f>
        <v>#REF!</v>
      </c>
      <c r="H24" s="207" t="e">
        <f>IF(F24&lt;Floors!$E$4,Floors!$E$4, "-")</f>
        <v>#REF!</v>
      </c>
      <c r="I24" s="69" t="e">
        <f t="shared" si="4"/>
        <v>#REF!</v>
      </c>
      <c r="J24" s="204" t="e">
        <f>IF(I24="Y",VLOOKUP(B24,#REF!,2,FALSE)*1.1,"N/A ")</f>
        <v>#REF!</v>
      </c>
      <c r="K24" s="204" t="e">
        <f t="shared" si="0"/>
        <v>#REF!</v>
      </c>
      <c r="M24" s="205" t="e">
        <f t="shared" si="5"/>
        <v>#REF!</v>
      </c>
      <c r="N24" s="194" t="e">
        <f t="shared" si="1"/>
        <v>#REF!</v>
      </c>
      <c r="O24" s="196" t="e">
        <f t="shared" si="2"/>
        <v>#REF!</v>
      </c>
      <c r="P24" s="194" t="e">
        <f t="shared" si="7"/>
        <v>#REF!</v>
      </c>
      <c r="Q24" s="194" t="e">
        <f t="shared" si="6"/>
        <v>#REF!</v>
      </c>
      <c r="R24" s="195" t="e">
        <f t="shared" si="8"/>
        <v>#REF!</v>
      </c>
      <c r="S24" s="194" t="e">
        <f t="shared" si="9"/>
        <v>#REF!</v>
      </c>
      <c r="T24" s="194" t="e">
        <f t="shared" si="10"/>
        <v>#REF!</v>
      </c>
    </row>
    <row r="25" spans="1:20" s="56" customFormat="1" ht="16.5" customHeight="1" x14ac:dyDescent="0.25">
      <c r="A25" s="69">
        <v>4</v>
      </c>
      <c r="B25" s="70" t="s">
        <v>54</v>
      </c>
      <c r="D25" s="201">
        <f>VLOOKUP(B25,'WF Need'!$B$7:$AB$64,27, FALSE)</f>
        <v>819680291.52896309</v>
      </c>
      <c r="E25" s="97">
        <f t="shared" si="3"/>
        <v>0.2976156899594179</v>
      </c>
      <c r="F25" s="9" t="e">
        <f>#REF!</f>
        <v>#REF!</v>
      </c>
      <c r="H25" s="207" t="e">
        <f>IF(F25&lt;Floors!$E$4,Floors!$E$4, "-")</f>
        <v>#REF!</v>
      </c>
      <c r="I25" s="69" t="e">
        <f t="shared" si="4"/>
        <v>#REF!</v>
      </c>
      <c r="J25" s="204" t="e">
        <f>IF(I25="Y",VLOOKUP(B25,#REF!,2,FALSE)*1.1,"N/A ")</f>
        <v>#REF!</v>
      </c>
      <c r="K25" s="204" t="e">
        <f t="shared" si="0"/>
        <v>#REF!</v>
      </c>
      <c r="M25" s="204" t="e">
        <f t="shared" si="5"/>
        <v>#REF!</v>
      </c>
      <c r="N25" s="194" t="e">
        <f t="shared" si="1"/>
        <v>#REF!</v>
      </c>
      <c r="O25" s="192" t="e">
        <f t="shared" si="2"/>
        <v>#REF!</v>
      </c>
      <c r="P25" s="194" t="e">
        <f t="shared" si="7"/>
        <v>#REF!</v>
      </c>
      <c r="Q25" s="194" t="e">
        <f t="shared" si="6"/>
        <v>#REF!</v>
      </c>
      <c r="R25" s="195" t="e">
        <f t="shared" si="8"/>
        <v>#REF!</v>
      </c>
      <c r="S25" s="194" t="e">
        <f t="shared" si="9"/>
        <v>#REF!</v>
      </c>
      <c r="T25" s="194" t="e">
        <f t="shared" si="10"/>
        <v>#REF!</v>
      </c>
    </row>
    <row r="26" spans="1:20" s="56" customFormat="1" ht="16.5" customHeight="1" x14ac:dyDescent="0.25">
      <c r="A26" s="69">
        <v>2</v>
      </c>
      <c r="B26" s="70" t="s">
        <v>25</v>
      </c>
      <c r="D26" s="201">
        <f>VLOOKUP(B26,'WF Need'!$B$7:$AB$64,27, FALSE)</f>
        <v>13010198.767199522</v>
      </c>
      <c r="E26" s="97">
        <f t="shared" si="3"/>
        <v>4.7238408958042355E-3</v>
      </c>
      <c r="F26" s="9" t="e">
        <f>#REF!</f>
        <v>#REF!</v>
      </c>
      <c r="H26" s="207" t="e">
        <f>IF(F26&lt;Floors!$E$4,Floors!$E$4, "-")</f>
        <v>#REF!</v>
      </c>
      <c r="I26" s="69" t="e">
        <f t="shared" si="4"/>
        <v>#REF!</v>
      </c>
      <c r="J26" s="204" t="e">
        <f>IF(I26="Y",VLOOKUP(B26,#REF!,2,FALSE)*1.1,"N/A ")</f>
        <v>#REF!</v>
      </c>
      <c r="K26" s="204" t="e">
        <f t="shared" si="0"/>
        <v>#REF!</v>
      </c>
      <c r="M26" s="204" t="e">
        <f t="shared" si="5"/>
        <v>#REF!</v>
      </c>
      <c r="N26" s="194" t="e">
        <f t="shared" si="1"/>
        <v>#REF!</v>
      </c>
      <c r="O26" s="192" t="e">
        <f t="shared" si="2"/>
        <v>#REF!</v>
      </c>
      <c r="P26" s="194" t="e">
        <f t="shared" si="7"/>
        <v>#REF!</v>
      </c>
      <c r="Q26" s="194" t="e">
        <f t="shared" si="6"/>
        <v>#REF!</v>
      </c>
      <c r="R26" s="195" t="e">
        <f t="shared" si="8"/>
        <v>#REF!</v>
      </c>
      <c r="S26" s="194" t="e">
        <f t="shared" si="9"/>
        <v>#REF!</v>
      </c>
      <c r="T26" s="194" t="e">
        <f t="shared" si="10"/>
        <v>#REF!</v>
      </c>
    </row>
    <row r="27" spans="1:20" s="56" customFormat="1" ht="16.5" customHeight="1" x14ac:dyDescent="0.25">
      <c r="A27" s="69">
        <v>2</v>
      </c>
      <c r="B27" s="70" t="s">
        <v>26</v>
      </c>
      <c r="D27" s="201">
        <f>VLOOKUP(B27,'WF Need'!$B$7:$AB$64,27, FALSE)</f>
        <v>15094820.096735086</v>
      </c>
      <c r="E27" s="97">
        <f t="shared" si="3"/>
        <v>5.4807408990196031E-3</v>
      </c>
      <c r="F27" s="9" t="e">
        <f>#REF!</f>
        <v>#REF!</v>
      </c>
      <c r="H27" s="207" t="e">
        <f>IF(F27&lt;Floors!$E$4,Floors!$E$4, "-")</f>
        <v>#REF!</v>
      </c>
      <c r="I27" s="69" t="e">
        <f t="shared" si="4"/>
        <v>#REF!</v>
      </c>
      <c r="J27" s="204" t="e">
        <f>IF(I27="Y",VLOOKUP(B27,#REF!,2,FALSE)*1.1,"N/A ")</f>
        <v>#REF!</v>
      </c>
      <c r="K27" s="204" t="e">
        <f t="shared" si="0"/>
        <v>#REF!</v>
      </c>
      <c r="M27" s="204" t="e">
        <f t="shared" si="5"/>
        <v>#REF!</v>
      </c>
      <c r="N27" s="194" t="e">
        <f t="shared" si="1"/>
        <v>#REF!</v>
      </c>
      <c r="O27" s="192" t="e">
        <f t="shared" si="2"/>
        <v>#REF!</v>
      </c>
      <c r="P27" s="194" t="e">
        <f t="shared" si="7"/>
        <v>#REF!</v>
      </c>
      <c r="Q27" s="194" t="e">
        <f t="shared" si="6"/>
        <v>#REF!</v>
      </c>
      <c r="R27" s="195" t="e">
        <f t="shared" si="8"/>
        <v>#REF!</v>
      </c>
      <c r="S27" s="194" t="e">
        <f t="shared" si="9"/>
        <v>#REF!</v>
      </c>
      <c r="T27" s="194" t="e">
        <f t="shared" si="10"/>
        <v>#REF!</v>
      </c>
    </row>
    <row r="28" spans="1:20" s="56" customFormat="1" ht="16.5" customHeight="1" x14ac:dyDescent="0.25">
      <c r="A28" s="69">
        <v>1</v>
      </c>
      <c r="B28" s="70" t="s">
        <v>12</v>
      </c>
      <c r="D28" s="201">
        <f>VLOOKUP(B28,'WF Need'!$B$7:$AB$64,27, FALSE)</f>
        <v>1798556.4455715318</v>
      </c>
      <c r="E28" s="97">
        <f t="shared" si="3"/>
        <v>6.5303341194316829E-4</v>
      </c>
      <c r="F28" s="9" t="e">
        <f>#REF!</f>
        <v>#REF!</v>
      </c>
      <c r="H28" s="207" t="e">
        <f>IF(F28&lt;Floors!$E$4,Floors!$E$4, "-")</f>
        <v>#REF!</v>
      </c>
      <c r="I28" s="69" t="e">
        <f t="shared" si="4"/>
        <v>#REF!</v>
      </c>
      <c r="J28" s="204" t="e">
        <f>IF(I28="Y",VLOOKUP(B28,#REF!,2,FALSE)*1.1,"N/A ")</f>
        <v>#REF!</v>
      </c>
      <c r="K28" s="204" t="e">
        <f t="shared" si="0"/>
        <v>#REF!</v>
      </c>
      <c r="M28" s="205" t="e">
        <f t="shared" si="5"/>
        <v>#REF!</v>
      </c>
      <c r="N28" s="194" t="e">
        <f t="shared" si="1"/>
        <v>#REF!</v>
      </c>
      <c r="O28" s="194" t="e">
        <f t="shared" si="2"/>
        <v>#REF!</v>
      </c>
      <c r="P28" s="194" t="e">
        <f>IF(M28="n/a",(IF(AND(H28=750000,(F28&gt;750000)), H28-F28, 0)),M28-F28)</f>
        <v>#REF!</v>
      </c>
      <c r="Q28" s="194" t="e">
        <f t="shared" si="6"/>
        <v>#REF!</v>
      </c>
      <c r="R28" s="195" t="e">
        <f t="shared" si="8"/>
        <v>#REF!</v>
      </c>
      <c r="S28" s="194" t="e">
        <f t="shared" si="9"/>
        <v>#REF!</v>
      </c>
      <c r="T28" s="194" t="e">
        <f t="shared" si="10"/>
        <v>#REF!</v>
      </c>
    </row>
    <row r="29" spans="1:20" s="56" customFormat="1" ht="16.5" customHeight="1" x14ac:dyDescent="0.25">
      <c r="A29" s="69">
        <v>2</v>
      </c>
      <c r="B29" s="70" t="s">
        <v>27</v>
      </c>
      <c r="D29" s="201">
        <f>VLOOKUP(B29,'WF Need'!$B$7:$AB$64,27, FALSE)</f>
        <v>7538190.5724505903</v>
      </c>
      <c r="E29" s="97">
        <f t="shared" si="3"/>
        <v>2.737022972799132E-3</v>
      </c>
      <c r="F29" s="9" t="e">
        <f>#REF!</f>
        <v>#REF!</v>
      </c>
      <c r="H29" s="207" t="e">
        <f>IF(F29&lt;Floors!$E$4,Floors!$E$4, "-")</f>
        <v>#REF!</v>
      </c>
      <c r="I29" s="69" t="e">
        <f t="shared" si="4"/>
        <v>#REF!</v>
      </c>
      <c r="J29" s="204" t="e">
        <f>IF(I29="Y",VLOOKUP(B29,#REF!,2,FALSE)*1.1,"N/A ")</f>
        <v>#REF!</v>
      </c>
      <c r="K29" s="204" t="e">
        <f t="shared" si="0"/>
        <v>#REF!</v>
      </c>
      <c r="M29" s="204" t="e">
        <f t="shared" si="5"/>
        <v>#REF!</v>
      </c>
      <c r="N29" s="194" t="e">
        <f t="shared" si="1"/>
        <v>#REF!</v>
      </c>
      <c r="O29" s="192" t="e">
        <f t="shared" si="2"/>
        <v>#REF!</v>
      </c>
      <c r="P29" s="194" t="e">
        <f>IF(M29="n/a",(IF(AND(H29=750000,(F29&gt;750000)), H29-F29, 0)),M29-F29)</f>
        <v>#REF!</v>
      </c>
      <c r="Q29" s="194" t="e">
        <f t="shared" si="6"/>
        <v>#REF!</v>
      </c>
      <c r="R29" s="195" t="e">
        <f t="shared" si="8"/>
        <v>#REF!</v>
      </c>
      <c r="S29" s="194" t="e">
        <f t="shared" si="9"/>
        <v>#REF!</v>
      </c>
      <c r="T29" s="194" t="e">
        <f t="shared" si="10"/>
        <v>#REF!</v>
      </c>
    </row>
    <row r="30" spans="1:20" s="56" customFormat="1" ht="16.5" customHeight="1" x14ac:dyDescent="0.25">
      <c r="A30" s="69">
        <v>2</v>
      </c>
      <c r="B30" s="70" t="s">
        <v>28</v>
      </c>
      <c r="D30" s="201">
        <f>VLOOKUP(B30,'WF Need'!$B$7:$AB$64,27, FALSE)</f>
        <v>18692196.12439302</v>
      </c>
      <c r="E30" s="97">
        <f t="shared" si="3"/>
        <v>6.7869032644923806E-3</v>
      </c>
      <c r="F30" s="9" t="e">
        <f>#REF!</f>
        <v>#REF!</v>
      </c>
      <c r="H30" s="207" t="e">
        <f>IF(F30&lt;Floors!$E$4,Floors!$E$4, "-")</f>
        <v>#REF!</v>
      </c>
      <c r="I30" s="69" t="e">
        <f t="shared" si="4"/>
        <v>#REF!</v>
      </c>
      <c r="J30" s="204" t="e">
        <f>IF(I30="Y",VLOOKUP(B30,#REF!,2,FALSE)*1.1,"N/A ")</f>
        <v>#REF!</v>
      </c>
      <c r="K30" s="204" t="e">
        <f t="shared" si="0"/>
        <v>#REF!</v>
      </c>
      <c r="M30" s="204" t="e">
        <f t="shared" si="5"/>
        <v>#REF!</v>
      </c>
      <c r="N30" s="194" t="e">
        <f t="shared" si="1"/>
        <v>#REF!</v>
      </c>
      <c r="O30" s="192" t="e">
        <f t="shared" si="2"/>
        <v>#REF!</v>
      </c>
      <c r="P30" s="194" t="e">
        <f t="shared" ref="P30:P41" si="11">IF(M30="n/a",(IF(AND(H30=750000,(F30&gt;750000)), H30-F30, 0)),M30-F30)</f>
        <v>#REF!</v>
      </c>
      <c r="Q30" s="194" t="e">
        <f t="shared" si="6"/>
        <v>#REF!</v>
      </c>
      <c r="R30" s="195" t="e">
        <f t="shared" si="8"/>
        <v>#REF!</v>
      </c>
      <c r="S30" s="194" t="e">
        <f t="shared" si="9"/>
        <v>#REF!</v>
      </c>
      <c r="T30" s="194" t="e">
        <f t="shared" si="10"/>
        <v>#REF!</v>
      </c>
    </row>
    <row r="31" spans="1:20" s="56" customFormat="1" ht="16.5" customHeight="1" x14ac:dyDescent="0.25">
      <c r="A31" s="69">
        <v>1</v>
      </c>
      <c r="B31" s="70" t="s">
        <v>13</v>
      </c>
      <c r="D31" s="201">
        <f>VLOOKUP(B31,'WF Need'!$B$7:$AB$64,27, FALSE)</f>
        <v>1219811.2468836694</v>
      </c>
      <c r="E31" s="97">
        <f t="shared" si="3"/>
        <v>4.428982490043356E-4</v>
      </c>
      <c r="F31" s="9" t="e">
        <f>#REF!</f>
        <v>#REF!</v>
      </c>
      <c r="H31" s="207" t="e">
        <f>IF(F31&lt;Floors!$E$4,Floors!$E$4, "-")</f>
        <v>#REF!</v>
      </c>
      <c r="I31" s="69" t="e">
        <f t="shared" si="4"/>
        <v>#REF!</v>
      </c>
      <c r="J31" s="204" t="e">
        <f>IF(I31="Y",VLOOKUP(B31,#REF!,2,FALSE)*1.1,"N/A ")</f>
        <v>#REF!</v>
      </c>
      <c r="K31" s="204" t="e">
        <f t="shared" si="0"/>
        <v>#REF!</v>
      </c>
      <c r="M31" s="204" t="e">
        <f t="shared" si="5"/>
        <v>#REF!</v>
      </c>
      <c r="N31" s="194" t="e">
        <f t="shared" si="1"/>
        <v>#REF!</v>
      </c>
      <c r="O31" s="194" t="e">
        <f t="shared" si="2"/>
        <v>#REF!</v>
      </c>
      <c r="P31" s="194" t="e">
        <f t="shared" si="11"/>
        <v>#REF!</v>
      </c>
      <c r="Q31" s="194" t="e">
        <f t="shared" si="6"/>
        <v>#REF!</v>
      </c>
      <c r="R31" s="195" t="e">
        <f t="shared" si="8"/>
        <v>#REF!</v>
      </c>
      <c r="S31" s="194" t="e">
        <f t="shared" si="9"/>
        <v>#REF!</v>
      </c>
      <c r="T31" s="194" t="e">
        <f t="shared" si="10"/>
        <v>#REF!</v>
      </c>
    </row>
    <row r="32" spans="1:20" s="56" customFormat="1" ht="16.5" customHeight="1" x14ac:dyDescent="0.25">
      <c r="A32" s="69">
        <v>1</v>
      </c>
      <c r="B32" s="70" t="s">
        <v>14</v>
      </c>
      <c r="D32" s="201">
        <f>VLOOKUP(B32,'WF Need'!$B$7:$AB$64,27, FALSE)</f>
        <v>1974168.6920006627</v>
      </c>
      <c r="E32" s="97">
        <f t="shared" si="3"/>
        <v>7.1679602820522148E-4</v>
      </c>
      <c r="F32" s="9" t="e">
        <f>#REF!</f>
        <v>#REF!</v>
      </c>
      <c r="H32" s="207" t="e">
        <f>IF(F32&lt;Floors!$E$4,Floors!$E$4, "-")</f>
        <v>#REF!</v>
      </c>
      <c r="I32" s="69" t="e">
        <f t="shared" si="4"/>
        <v>#REF!</v>
      </c>
      <c r="J32" s="204" t="e">
        <f>IF(I32="Y",VLOOKUP(B32,#REF!,2,FALSE)*1.1,"N/A ")</f>
        <v>#REF!</v>
      </c>
      <c r="K32" s="204" t="e">
        <f t="shared" si="0"/>
        <v>#REF!</v>
      </c>
      <c r="M32" s="205" t="e">
        <f t="shared" si="5"/>
        <v>#REF!</v>
      </c>
      <c r="N32" s="194" t="e">
        <f t="shared" si="1"/>
        <v>#REF!</v>
      </c>
      <c r="O32" s="194" t="e">
        <f t="shared" si="2"/>
        <v>#REF!</v>
      </c>
      <c r="P32" s="194" t="e">
        <f t="shared" si="11"/>
        <v>#REF!</v>
      </c>
      <c r="Q32" s="194" t="e">
        <f t="shared" si="6"/>
        <v>#REF!</v>
      </c>
      <c r="R32" s="195" t="e">
        <f t="shared" si="8"/>
        <v>#REF!</v>
      </c>
      <c r="S32" s="194" t="e">
        <f t="shared" si="9"/>
        <v>#REF!</v>
      </c>
      <c r="T32" s="194" t="e">
        <f t="shared" si="10"/>
        <v>#REF!</v>
      </c>
    </row>
    <row r="33" spans="1:20" s="56" customFormat="1" ht="16.5" customHeight="1" x14ac:dyDescent="0.25">
      <c r="A33" s="69">
        <v>3</v>
      </c>
      <c r="B33" s="70" t="s">
        <v>44</v>
      </c>
      <c r="D33" s="201">
        <f>VLOOKUP(B33,'WF Need'!$B$7:$AB$64,27, FALSE)</f>
        <v>27857632.853599183</v>
      </c>
      <c r="E33" s="97">
        <f t="shared" si="3"/>
        <v>1.0114759020123536E-2</v>
      </c>
      <c r="F33" s="9" t="e">
        <f>#REF!</f>
        <v>#REF!</v>
      </c>
      <c r="H33" s="207" t="e">
        <f>IF(F33&lt;Floors!$E$4,Floors!$E$4, "-")</f>
        <v>#REF!</v>
      </c>
      <c r="I33" s="69" t="e">
        <f t="shared" si="4"/>
        <v>#REF!</v>
      </c>
      <c r="J33" s="204" t="e">
        <f>IF(I33="Y",VLOOKUP(B33,#REF!,2,FALSE)*1.1,"N/A ")</f>
        <v>#REF!</v>
      </c>
      <c r="K33" s="204" t="e">
        <f t="shared" si="0"/>
        <v>#REF!</v>
      </c>
      <c r="M33" s="204" t="e">
        <f t="shared" si="5"/>
        <v>#REF!</v>
      </c>
      <c r="N33" s="194" t="e">
        <f t="shared" si="1"/>
        <v>#REF!</v>
      </c>
      <c r="O33" s="192" t="e">
        <f t="shared" si="2"/>
        <v>#REF!</v>
      </c>
      <c r="P33" s="194" t="e">
        <f t="shared" si="11"/>
        <v>#REF!</v>
      </c>
      <c r="Q33" s="194" t="e">
        <f t="shared" si="6"/>
        <v>#REF!</v>
      </c>
      <c r="R33" s="195" t="e">
        <f t="shared" si="8"/>
        <v>#REF!</v>
      </c>
      <c r="S33" s="194" t="e">
        <f t="shared" si="9"/>
        <v>#REF!</v>
      </c>
      <c r="T33" s="194" t="e">
        <f t="shared" si="10"/>
        <v>#REF!</v>
      </c>
    </row>
    <row r="34" spans="1:20" s="56" customFormat="1" ht="16.5" customHeight="1" x14ac:dyDescent="0.25">
      <c r="A34" s="69">
        <v>2</v>
      </c>
      <c r="B34" s="70" t="s">
        <v>29</v>
      </c>
      <c r="D34" s="201">
        <f>VLOOKUP(B34,'WF Need'!$B$7:$AB$64,27, FALSE)</f>
        <v>10602266.286604147</v>
      </c>
      <c r="E34" s="97">
        <f t="shared" si="3"/>
        <v>3.8495506463079011E-3</v>
      </c>
      <c r="F34" s="9" t="e">
        <f>#REF!</f>
        <v>#REF!</v>
      </c>
      <c r="H34" s="207" t="e">
        <f>IF(F34&lt;Floors!$E$4,Floors!$E$4, "-")</f>
        <v>#REF!</v>
      </c>
      <c r="I34" s="69" t="e">
        <f t="shared" si="4"/>
        <v>#REF!</v>
      </c>
      <c r="J34" s="204" t="e">
        <f>IF(I34="Y",VLOOKUP(B34,#REF!,2,FALSE)*1.1,"N/A ")</f>
        <v>#REF!</v>
      </c>
      <c r="K34" s="204" t="e">
        <f t="shared" si="0"/>
        <v>#REF!</v>
      </c>
      <c r="M34" s="204" t="e">
        <f t="shared" si="5"/>
        <v>#REF!</v>
      </c>
      <c r="N34" s="194" t="e">
        <f t="shared" si="1"/>
        <v>#REF!</v>
      </c>
      <c r="O34" s="192" t="e">
        <f t="shared" si="2"/>
        <v>#REF!</v>
      </c>
      <c r="P34" s="194" t="e">
        <f t="shared" si="11"/>
        <v>#REF!</v>
      </c>
      <c r="Q34" s="194" t="e">
        <f t="shared" si="6"/>
        <v>#REF!</v>
      </c>
      <c r="R34" s="195" t="e">
        <f t="shared" si="8"/>
        <v>#REF!</v>
      </c>
      <c r="S34" s="194" t="e">
        <f t="shared" si="9"/>
        <v>#REF!</v>
      </c>
      <c r="T34" s="194" t="e">
        <f t="shared" si="10"/>
        <v>#REF!</v>
      </c>
    </row>
    <row r="35" spans="1:20" s="56" customFormat="1" ht="16.5" customHeight="1" x14ac:dyDescent="0.25">
      <c r="A35" s="69">
        <v>2</v>
      </c>
      <c r="B35" s="70" t="s">
        <v>30</v>
      </c>
      <c r="D35" s="201">
        <f>VLOOKUP(B35,'WF Need'!$B$7:$AB$64,27, FALSE)</f>
        <v>7272181.8883402795</v>
      </c>
      <c r="E35" s="97">
        <f t="shared" si="3"/>
        <v>2.6404385375322879E-3</v>
      </c>
      <c r="F35" s="9" t="e">
        <f>#REF!</f>
        <v>#REF!</v>
      </c>
      <c r="H35" s="207" t="e">
        <f>IF(F35&lt;Floors!$E$4,Floors!$E$4, "-")</f>
        <v>#REF!</v>
      </c>
      <c r="I35" s="69" t="e">
        <f t="shared" si="4"/>
        <v>#REF!</v>
      </c>
      <c r="J35" s="204" t="e">
        <f>IF(I35="Y",VLOOKUP(B35,#REF!,2,FALSE)*1.1,"N/A ")</f>
        <v>#REF!</v>
      </c>
      <c r="K35" s="204" t="e">
        <f t="shared" si="0"/>
        <v>#REF!</v>
      </c>
      <c r="M35" s="204" t="e">
        <f t="shared" si="5"/>
        <v>#REF!</v>
      </c>
      <c r="N35" s="194" t="e">
        <f t="shared" si="1"/>
        <v>#REF!</v>
      </c>
      <c r="O35" s="192" t="e">
        <f t="shared" si="2"/>
        <v>#REF!</v>
      </c>
      <c r="P35" s="194" t="e">
        <f t="shared" si="11"/>
        <v>#REF!</v>
      </c>
      <c r="Q35" s="194" t="e">
        <f t="shared" si="6"/>
        <v>#REF!</v>
      </c>
      <c r="R35" s="195" t="e">
        <f t="shared" si="8"/>
        <v>#REF!</v>
      </c>
      <c r="S35" s="194" t="e">
        <f t="shared" si="9"/>
        <v>#REF!</v>
      </c>
      <c r="T35" s="194" t="e">
        <f t="shared" si="10"/>
        <v>#REF!</v>
      </c>
    </row>
    <row r="36" spans="1:20" s="56" customFormat="1" ht="16.5" customHeight="1" x14ac:dyDescent="0.25">
      <c r="A36" s="69">
        <v>4</v>
      </c>
      <c r="B36" s="70" t="s">
        <v>55</v>
      </c>
      <c r="D36" s="201">
        <f>VLOOKUP(B36,'WF Need'!$B$7:$AB$64,27, FALSE)</f>
        <v>206095346.92045417</v>
      </c>
      <c r="E36" s="97">
        <f t="shared" si="3"/>
        <v>7.4830649833904458E-2</v>
      </c>
      <c r="F36" s="9" t="e">
        <f>#REF!</f>
        <v>#REF!</v>
      </c>
      <c r="H36" s="207" t="e">
        <f>IF(F36&lt;Floors!$E$4,Floors!$E$4, "-")</f>
        <v>#REF!</v>
      </c>
      <c r="I36" s="69" t="e">
        <f t="shared" si="4"/>
        <v>#REF!</v>
      </c>
      <c r="J36" s="204" t="e">
        <f>IF(I36="Y",VLOOKUP(B36,#REF!,2,FALSE)*1.1,"N/A ")</f>
        <v>#REF!</v>
      </c>
      <c r="K36" s="204" t="e">
        <f t="shared" si="0"/>
        <v>#REF!</v>
      </c>
      <c r="M36" s="204" t="e">
        <f t="shared" si="5"/>
        <v>#REF!</v>
      </c>
      <c r="N36" s="194" t="e">
        <f t="shared" si="1"/>
        <v>#REF!</v>
      </c>
      <c r="O36" s="192" t="e">
        <f t="shared" si="2"/>
        <v>#REF!</v>
      </c>
      <c r="P36" s="194" t="e">
        <f t="shared" si="11"/>
        <v>#REF!</v>
      </c>
      <c r="Q36" s="194" t="e">
        <f t="shared" si="6"/>
        <v>#REF!</v>
      </c>
      <c r="R36" s="195" t="e">
        <f t="shared" si="8"/>
        <v>#REF!</v>
      </c>
      <c r="S36" s="194" t="e">
        <f t="shared" si="9"/>
        <v>#REF!</v>
      </c>
      <c r="T36" s="194" t="e">
        <f t="shared" si="10"/>
        <v>#REF!</v>
      </c>
    </row>
    <row r="37" spans="1:20" s="56" customFormat="1" ht="16.5" customHeight="1" x14ac:dyDescent="0.25">
      <c r="A37" s="69">
        <v>2</v>
      </c>
      <c r="B37" s="70" t="s">
        <v>31</v>
      </c>
      <c r="D37" s="201">
        <f>VLOOKUP(B37,'WF Need'!$B$7:$AB$64,27, FALSE)</f>
        <v>25911569.007889275</v>
      </c>
      <c r="E37" s="97">
        <f t="shared" si="3"/>
        <v>9.4081675110539685E-3</v>
      </c>
      <c r="F37" s="9" t="e">
        <f>#REF!</f>
        <v>#REF!</v>
      </c>
      <c r="H37" s="207" t="e">
        <f>IF(F37&lt;Floors!$E$4,Floors!$E$4, "-")</f>
        <v>#REF!</v>
      </c>
      <c r="I37" s="69" t="e">
        <f t="shared" si="4"/>
        <v>#REF!</v>
      </c>
      <c r="J37" s="204" t="e">
        <f>IF(I37="Y",VLOOKUP(B37,#REF!,2,FALSE)*1.1,"N/A ")</f>
        <v>#REF!</v>
      </c>
      <c r="K37" s="204" t="e">
        <f t="shared" si="0"/>
        <v>#REF!</v>
      </c>
      <c r="M37" s="204" t="e">
        <f t="shared" si="5"/>
        <v>#REF!</v>
      </c>
      <c r="N37" s="194" t="e">
        <f t="shared" si="1"/>
        <v>#REF!</v>
      </c>
      <c r="O37" s="192" t="e">
        <f t="shared" si="2"/>
        <v>#REF!</v>
      </c>
      <c r="P37" s="194" t="e">
        <f t="shared" si="11"/>
        <v>#REF!</v>
      </c>
      <c r="Q37" s="194" t="e">
        <f t="shared" si="6"/>
        <v>#REF!</v>
      </c>
      <c r="R37" s="195" t="e">
        <f t="shared" si="8"/>
        <v>#REF!</v>
      </c>
      <c r="S37" s="194" t="e">
        <f t="shared" si="9"/>
        <v>#REF!</v>
      </c>
      <c r="T37" s="194" t="e">
        <f t="shared" si="10"/>
        <v>#REF!</v>
      </c>
    </row>
    <row r="38" spans="1:20" s="56" customFormat="1" ht="16.5" customHeight="1" x14ac:dyDescent="0.25">
      <c r="A38" s="69">
        <v>1</v>
      </c>
      <c r="B38" s="70" t="s">
        <v>15</v>
      </c>
      <c r="D38" s="201">
        <f>VLOOKUP(B38,'WF Need'!$B$7:$AB$64,27, FALSE)</f>
        <v>1680815.4941393933</v>
      </c>
      <c r="E38" s="97">
        <f t="shared" si="3"/>
        <v>6.1028314106427407E-4</v>
      </c>
      <c r="F38" s="9" t="e">
        <f>#REF!</f>
        <v>#REF!</v>
      </c>
      <c r="H38" s="207" t="e">
        <f>IF(F38&lt;Floors!$E$4,Floors!$E$4, "-")</f>
        <v>#REF!</v>
      </c>
      <c r="I38" s="69" t="e">
        <f t="shared" si="4"/>
        <v>#REF!</v>
      </c>
      <c r="J38" s="204" t="e">
        <f>IF(I38="Y",VLOOKUP(B38,#REF!,2,FALSE)*1.1,"N/A ")</f>
        <v>#REF!</v>
      </c>
      <c r="K38" s="204" t="e">
        <f t="shared" si="0"/>
        <v>#REF!</v>
      </c>
      <c r="M38" s="204" t="e">
        <f t="shared" si="5"/>
        <v>#REF!</v>
      </c>
      <c r="N38" s="194" t="e">
        <f t="shared" si="1"/>
        <v>#REF!</v>
      </c>
      <c r="O38" s="194" t="e">
        <f t="shared" si="2"/>
        <v>#REF!</v>
      </c>
      <c r="P38" s="194" t="e">
        <f t="shared" si="11"/>
        <v>#REF!</v>
      </c>
      <c r="Q38" s="194" t="e">
        <f t="shared" si="6"/>
        <v>#REF!</v>
      </c>
      <c r="R38" s="195" t="e">
        <f t="shared" si="8"/>
        <v>#REF!</v>
      </c>
      <c r="S38" s="194" t="e">
        <f t="shared" si="9"/>
        <v>#REF!</v>
      </c>
      <c r="T38" s="194" t="e">
        <f t="shared" si="10"/>
        <v>#REF!</v>
      </c>
    </row>
    <row r="39" spans="1:20" s="56" customFormat="1" ht="16.5" customHeight="1" x14ac:dyDescent="0.25">
      <c r="A39" s="69">
        <v>4</v>
      </c>
      <c r="B39" s="70" t="s">
        <v>56</v>
      </c>
      <c r="D39" s="201">
        <f>VLOOKUP(B39,'WF Need'!$B$7:$AB$64,27, FALSE)</f>
        <v>148174515.43086958</v>
      </c>
      <c r="E39" s="97">
        <f t="shared" si="3"/>
        <v>5.3800318368155423E-2</v>
      </c>
      <c r="F39" s="9" t="e">
        <f>#REF!</f>
        <v>#REF!</v>
      </c>
      <c r="H39" s="207" t="e">
        <f>IF(F39&lt;Floors!$E$4,Floors!$E$4, "-")</f>
        <v>#REF!</v>
      </c>
      <c r="I39" s="69" t="e">
        <f t="shared" si="4"/>
        <v>#REF!</v>
      </c>
      <c r="J39" s="204" t="e">
        <f>IF(I39="Y",VLOOKUP(B39,#REF!,2,FALSE)*1.1,"N/A ")</f>
        <v>#REF!</v>
      </c>
      <c r="K39" s="204" t="e">
        <f t="shared" si="0"/>
        <v>#REF!</v>
      </c>
      <c r="M39" s="204" t="e">
        <f t="shared" si="5"/>
        <v>#REF!</v>
      </c>
      <c r="N39" s="194" t="e">
        <f t="shared" si="1"/>
        <v>#REF!</v>
      </c>
      <c r="O39" s="192" t="e">
        <f t="shared" si="2"/>
        <v>#REF!</v>
      </c>
      <c r="P39" s="194" t="e">
        <f t="shared" si="11"/>
        <v>#REF!</v>
      </c>
      <c r="Q39" s="194" t="e">
        <f t="shared" si="6"/>
        <v>#REF!</v>
      </c>
      <c r="R39" s="195" t="e">
        <f t="shared" si="8"/>
        <v>#REF!</v>
      </c>
      <c r="S39" s="194" t="e">
        <f t="shared" si="9"/>
        <v>#REF!</v>
      </c>
      <c r="T39" s="194" t="e">
        <f t="shared" si="10"/>
        <v>#REF!</v>
      </c>
    </row>
    <row r="40" spans="1:20" s="56" customFormat="1" ht="16.5" customHeight="1" x14ac:dyDescent="0.25">
      <c r="A40" s="69">
        <v>4</v>
      </c>
      <c r="B40" s="70" t="s">
        <v>57</v>
      </c>
      <c r="D40" s="201">
        <f>VLOOKUP(B40,'WF Need'!$B$7:$AB$64,27, FALSE)</f>
        <v>124969094.54988866</v>
      </c>
      <c r="E40" s="97">
        <f t="shared" si="3"/>
        <v>4.5374719488122092E-2</v>
      </c>
      <c r="F40" s="9" t="e">
        <f>#REF!</f>
        <v>#REF!</v>
      </c>
      <c r="H40" s="207" t="e">
        <f>IF(F40&lt;Floors!$E$4,Floors!$E$4, "-")</f>
        <v>#REF!</v>
      </c>
      <c r="I40" s="69" t="e">
        <f t="shared" si="4"/>
        <v>#REF!</v>
      </c>
      <c r="J40" s="204" t="e">
        <f>IF(I40="Y",VLOOKUP(B40,#REF!,2,FALSE)*1.1,"N/A ")</f>
        <v>#REF!</v>
      </c>
      <c r="K40" s="204" t="e">
        <f t="shared" si="0"/>
        <v>#REF!</v>
      </c>
      <c r="M40" s="204" t="e">
        <f t="shared" si="5"/>
        <v>#REF!</v>
      </c>
      <c r="N40" s="194" t="e">
        <f t="shared" si="1"/>
        <v>#REF!</v>
      </c>
      <c r="O40" s="192" t="e">
        <f t="shared" si="2"/>
        <v>#REF!</v>
      </c>
      <c r="P40" s="194" t="e">
        <f t="shared" si="11"/>
        <v>#REF!</v>
      </c>
      <c r="Q40" s="194" t="e">
        <f t="shared" si="6"/>
        <v>#REF!</v>
      </c>
      <c r="R40" s="195" t="e">
        <f t="shared" si="8"/>
        <v>#REF!</v>
      </c>
      <c r="S40" s="194" t="e">
        <f t="shared" si="9"/>
        <v>#REF!</v>
      </c>
      <c r="T40" s="194" t="e">
        <f t="shared" si="10"/>
        <v>#REF!</v>
      </c>
    </row>
    <row r="41" spans="1:20" s="56" customFormat="1" ht="16.5" customHeight="1" x14ac:dyDescent="0.25">
      <c r="A41" s="69">
        <v>1</v>
      </c>
      <c r="B41" s="70" t="s">
        <v>16</v>
      </c>
      <c r="D41" s="201">
        <f>VLOOKUP(B41,'WF Need'!$B$7:$AB$64,27, FALSE)</f>
        <v>4030122.5762615902</v>
      </c>
      <c r="E41" s="97">
        <f t="shared" si="3"/>
        <v>1.4632872396111998E-3</v>
      </c>
      <c r="F41" s="9" t="e">
        <f>#REF!</f>
        <v>#REF!</v>
      </c>
      <c r="H41" s="207" t="e">
        <f>IF(F41&lt;Floors!$E$4,Floors!$E$4, "-")</f>
        <v>#REF!</v>
      </c>
      <c r="I41" s="69" t="e">
        <f t="shared" si="4"/>
        <v>#REF!</v>
      </c>
      <c r="J41" s="204" t="e">
        <f>IF(I41="Y",VLOOKUP(B41,#REF!,2,FALSE)*1.1,"N/A ")</f>
        <v>#REF!</v>
      </c>
      <c r="K41" s="204" t="e">
        <f t="shared" si="0"/>
        <v>#REF!</v>
      </c>
      <c r="M41" s="204" t="e">
        <f t="shared" si="5"/>
        <v>#REF!</v>
      </c>
      <c r="N41" s="194" t="e">
        <f t="shared" si="1"/>
        <v>#REF!</v>
      </c>
      <c r="O41" s="192" t="e">
        <f t="shared" si="2"/>
        <v>#REF!</v>
      </c>
      <c r="P41" s="194" t="e">
        <f t="shared" si="11"/>
        <v>#REF!</v>
      </c>
      <c r="Q41" s="194" t="e">
        <f t="shared" si="6"/>
        <v>#REF!</v>
      </c>
      <c r="R41" s="195" t="e">
        <f t="shared" si="8"/>
        <v>#REF!</v>
      </c>
      <c r="S41" s="194" t="e">
        <f t="shared" si="9"/>
        <v>#REF!</v>
      </c>
      <c r="T41" s="194" t="e">
        <f t="shared" si="10"/>
        <v>#REF!</v>
      </c>
    </row>
    <row r="42" spans="1:20" s="56" customFormat="1" ht="16.5" customHeight="1" x14ac:dyDescent="0.25">
      <c r="A42" s="69">
        <v>4</v>
      </c>
      <c r="B42" s="70" t="s">
        <v>58</v>
      </c>
      <c r="D42" s="201">
        <f>VLOOKUP(B42,'WF Need'!$B$7:$AB$64,27, FALSE)</f>
        <v>150737724.82650384</v>
      </c>
      <c r="E42" s="97">
        <f t="shared" si="3"/>
        <v>5.4730987728729155E-2</v>
      </c>
      <c r="F42" s="9" t="e">
        <f>#REF!</f>
        <v>#REF!</v>
      </c>
      <c r="H42" s="207" t="e">
        <f>IF(F42&lt;Floors!$E$4,Floors!$E$4, "-")</f>
        <v>#REF!</v>
      </c>
      <c r="I42" s="69" t="e">
        <f t="shared" si="4"/>
        <v>#REF!</v>
      </c>
      <c r="J42" s="204" t="e">
        <f>IF(I42="Y",VLOOKUP(B42,#REF!,2,FALSE)*1.1,"N/A ")</f>
        <v>#REF!</v>
      </c>
      <c r="K42" s="204" t="e">
        <f t="shared" si="0"/>
        <v>#REF!</v>
      </c>
      <c r="M42" s="204" t="e">
        <f t="shared" si="5"/>
        <v>#REF!</v>
      </c>
      <c r="N42" s="194" t="e">
        <f t="shared" si="1"/>
        <v>#REF!</v>
      </c>
      <c r="O42" s="192" t="e">
        <f t="shared" si="2"/>
        <v>#REF!</v>
      </c>
      <c r="P42" s="194" t="e">
        <f>IF(M42="n/a",(IF(AND(H42=750000,(F42&gt;750000)), H42-F42, 0)),M42-F42)</f>
        <v>#REF!</v>
      </c>
      <c r="Q42" s="194" t="e">
        <f t="shared" si="6"/>
        <v>#REF!</v>
      </c>
      <c r="R42" s="195" t="e">
        <f t="shared" si="8"/>
        <v>#REF!</v>
      </c>
      <c r="S42" s="194" t="e">
        <f t="shared" si="9"/>
        <v>#REF!</v>
      </c>
      <c r="T42" s="194" t="e">
        <f t="shared" si="10"/>
        <v>#REF!</v>
      </c>
    </row>
    <row r="43" spans="1:20" s="56" customFormat="1" ht="16.5" customHeight="1" x14ac:dyDescent="0.25">
      <c r="A43" s="69">
        <v>4</v>
      </c>
      <c r="B43" s="70" t="s">
        <v>59</v>
      </c>
      <c r="D43" s="201">
        <f>VLOOKUP(B43,'WF Need'!$B$7:$AB$64,27, FALSE)</f>
        <v>191973298.28819248</v>
      </c>
      <c r="E43" s="97">
        <f t="shared" si="3"/>
        <v>6.9703110120229991E-2</v>
      </c>
      <c r="F43" s="9" t="e">
        <f>#REF!</f>
        <v>#REF!</v>
      </c>
      <c r="H43" s="207" t="e">
        <f>IF(F43&lt;Floors!$E$4,Floors!$E$4, "-")</f>
        <v>#REF!</v>
      </c>
      <c r="I43" s="69" t="e">
        <f t="shared" si="4"/>
        <v>#REF!</v>
      </c>
      <c r="J43" s="204" t="e">
        <f>IF(I43="Y",VLOOKUP(B43,#REF!,2,FALSE)*1.1,"N/A ")</f>
        <v>#REF!</v>
      </c>
      <c r="K43" s="204" t="e">
        <f t="shared" si="0"/>
        <v>#REF!</v>
      </c>
      <c r="M43" s="204" t="e">
        <f t="shared" si="5"/>
        <v>#REF!</v>
      </c>
      <c r="N43" s="194" t="e">
        <f t="shared" si="1"/>
        <v>#REF!</v>
      </c>
      <c r="O43" s="192" t="e">
        <f t="shared" si="2"/>
        <v>#REF!</v>
      </c>
      <c r="P43" s="194" t="e">
        <f>IF(M43="n/a",(IF(AND(H43=750000,(F43&gt;750000)), H43-F43, 0)),M43-F43)</f>
        <v>#REF!</v>
      </c>
      <c r="Q43" s="194" t="e">
        <f t="shared" si="6"/>
        <v>#REF!</v>
      </c>
      <c r="R43" s="195" t="e">
        <f t="shared" si="8"/>
        <v>#REF!</v>
      </c>
      <c r="S43" s="194" t="e">
        <f t="shared" si="9"/>
        <v>#REF!</v>
      </c>
      <c r="T43" s="194" t="e">
        <f t="shared" si="10"/>
        <v>#REF!</v>
      </c>
    </row>
    <row r="44" spans="1:20" s="56" customFormat="1" ht="16.5" customHeight="1" x14ac:dyDescent="0.25">
      <c r="A44" s="69">
        <v>4</v>
      </c>
      <c r="B44" s="70" t="s">
        <v>60</v>
      </c>
      <c r="D44" s="201">
        <f>VLOOKUP(B44,'WF Need'!$B$7:$AB$64,27, FALSE)</f>
        <v>62252777.56224785</v>
      </c>
      <c r="E44" s="97">
        <f t="shared" si="3"/>
        <v>2.2603207052250936E-2</v>
      </c>
      <c r="F44" s="9" t="e">
        <f>#REF!</f>
        <v>#REF!</v>
      </c>
      <c r="H44" s="207" t="e">
        <f>IF(F44&lt;Floors!$E$4,Floors!$E$4, "-")</f>
        <v>#REF!</v>
      </c>
      <c r="I44" s="69" t="e">
        <f t="shared" si="4"/>
        <v>#REF!</v>
      </c>
      <c r="J44" s="204" t="e">
        <f>IF(I44="Y",VLOOKUP(B44,#REF!,2,FALSE)*1.1,"N/A ")</f>
        <v>#REF!</v>
      </c>
      <c r="K44" s="204" t="e">
        <f t="shared" si="0"/>
        <v>#REF!</v>
      </c>
      <c r="M44" s="204" t="e">
        <f t="shared" si="5"/>
        <v>#REF!</v>
      </c>
      <c r="N44" s="194" t="e">
        <f t="shared" si="1"/>
        <v>#REF!</v>
      </c>
      <c r="O44" s="192" t="e">
        <f t="shared" si="2"/>
        <v>#REF!</v>
      </c>
      <c r="P44" s="194" t="e">
        <f t="shared" ref="P44:P54" si="12">IF(M44="n/a",(IF(AND(H44=750000,(F44&gt;750000)), H44-F44, 0)),M44-F44)</f>
        <v>#REF!</v>
      </c>
      <c r="Q44" s="194" t="e">
        <f t="shared" si="6"/>
        <v>#REF!</v>
      </c>
      <c r="R44" s="195" t="e">
        <f t="shared" si="8"/>
        <v>#REF!</v>
      </c>
      <c r="S44" s="194" t="e">
        <f t="shared" si="9"/>
        <v>#REF!</v>
      </c>
      <c r="T44" s="194" t="e">
        <f t="shared" si="10"/>
        <v>#REF!</v>
      </c>
    </row>
    <row r="45" spans="1:20" s="56" customFormat="1" ht="16.5" customHeight="1" x14ac:dyDescent="0.25">
      <c r="A45" s="69">
        <v>3</v>
      </c>
      <c r="B45" s="70" t="s">
        <v>45</v>
      </c>
      <c r="D45" s="201">
        <f>VLOOKUP(B45,'WF Need'!$B$7:$AB$64,27, FALSE)</f>
        <v>56687245.187506467</v>
      </c>
      <c r="E45" s="97">
        <f t="shared" si="3"/>
        <v>2.0582431666020237E-2</v>
      </c>
      <c r="F45" s="9" t="e">
        <f>#REF!</f>
        <v>#REF!</v>
      </c>
      <c r="H45" s="207" t="e">
        <f>IF(F45&lt;Floors!$E$4,Floors!$E$4, "-")</f>
        <v>#REF!</v>
      </c>
      <c r="I45" s="69" t="e">
        <f t="shared" si="4"/>
        <v>#REF!</v>
      </c>
      <c r="J45" s="204" t="e">
        <f>IF(I45="Y",VLOOKUP(B45,#REF!,2,FALSE)*1.1,"N/A ")</f>
        <v>#REF!</v>
      </c>
      <c r="K45" s="204" t="e">
        <f t="shared" si="0"/>
        <v>#REF!</v>
      </c>
      <c r="M45" s="204" t="e">
        <f t="shared" si="5"/>
        <v>#REF!</v>
      </c>
      <c r="N45" s="194" t="e">
        <f t="shared" si="1"/>
        <v>#REF!</v>
      </c>
      <c r="O45" s="192" t="e">
        <f t="shared" si="2"/>
        <v>#REF!</v>
      </c>
      <c r="P45" s="194" t="e">
        <f t="shared" si="12"/>
        <v>#REF!</v>
      </c>
      <c r="Q45" s="194" t="e">
        <f t="shared" si="6"/>
        <v>#REF!</v>
      </c>
      <c r="R45" s="195" t="e">
        <f t="shared" si="8"/>
        <v>#REF!</v>
      </c>
      <c r="S45" s="194" t="e">
        <f t="shared" si="9"/>
        <v>#REF!</v>
      </c>
      <c r="T45" s="194" t="e">
        <f t="shared" si="10"/>
        <v>#REF!</v>
      </c>
    </row>
    <row r="46" spans="1:20" s="56" customFormat="1" ht="16.5" customHeight="1" x14ac:dyDescent="0.25">
      <c r="A46" s="69">
        <v>2</v>
      </c>
      <c r="B46" s="70" t="s">
        <v>32</v>
      </c>
      <c r="D46" s="201">
        <f>VLOOKUP(B46,'WF Need'!$B$7:$AB$64,27, FALSE)</f>
        <v>20537274.273800369</v>
      </c>
      <c r="E46" s="97">
        <f t="shared" si="3"/>
        <v>7.4568281268318467E-3</v>
      </c>
      <c r="F46" s="9" t="e">
        <f>#REF!</f>
        <v>#REF!</v>
      </c>
      <c r="H46" s="207" t="e">
        <f>IF(F46&lt;Floors!$E$4,Floors!$E$4, "-")</f>
        <v>#REF!</v>
      </c>
      <c r="I46" s="69" t="e">
        <f t="shared" si="4"/>
        <v>#REF!</v>
      </c>
      <c r="J46" s="204" t="e">
        <f>IF(I46="Y",VLOOKUP(B46,#REF!,2,FALSE)*1.1,"N/A ")</f>
        <v>#REF!</v>
      </c>
      <c r="K46" s="204" t="e">
        <f t="shared" si="0"/>
        <v>#REF!</v>
      </c>
      <c r="M46" s="204" t="e">
        <f t="shared" si="5"/>
        <v>#REF!</v>
      </c>
      <c r="N46" s="194" t="e">
        <f t="shared" si="1"/>
        <v>#REF!</v>
      </c>
      <c r="O46" s="192" t="e">
        <f t="shared" si="2"/>
        <v>#REF!</v>
      </c>
      <c r="P46" s="194" t="e">
        <f t="shared" si="12"/>
        <v>#REF!</v>
      </c>
      <c r="Q46" s="194" t="e">
        <f t="shared" si="6"/>
        <v>#REF!</v>
      </c>
      <c r="R46" s="195" t="e">
        <f t="shared" si="8"/>
        <v>#REF!</v>
      </c>
      <c r="S46" s="194" t="e">
        <f t="shared" si="9"/>
        <v>#REF!</v>
      </c>
      <c r="T46" s="194" t="e">
        <f t="shared" si="10"/>
        <v>#REF!</v>
      </c>
    </row>
    <row r="47" spans="1:20" s="56" customFormat="1" ht="16.5" customHeight="1" x14ac:dyDescent="0.25">
      <c r="A47" s="69">
        <v>3</v>
      </c>
      <c r="B47" s="70" t="s">
        <v>46</v>
      </c>
      <c r="D47" s="201">
        <f>VLOOKUP(B47,'WF Need'!$B$7:$AB$64,27, FALSE)</f>
        <v>48051532.490990616</v>
      </c>
      <c r="E47" s="97">
        <f t="shared" si="3"/>
        <v>1.7446912099396552E-2</v>
      </c>
      <c r="F47" s="9" t="e">
        <f>#REF!</f>
        <v>#REF!</v>
      </c>
      <c r="H47" s="207" t="e">
        <f>IF(F47&lt;Floors!$E$4,Floors!$E$4, "-")</f>
        <v>#REF!</v>
      </c>
      <c r="I47" s="69" t="e">
        <f t="shared" si="4"/>
        <v>#REF!</v>
      </c>
      <c r="J47" s="204" t="e">
        <f>IF(I47="Y",VLOOKUP(B47,#REF!,2,FALSE)*1.1,"N/A ")</f>
        <v>#REF!</v>
      </c>
      <c r="K47" s="204" t="e">
        <f t="shared" si="0"/>
        <v>#REF!</v>
      </c>
      <c r="M47" s="204" t="e">
        <f t="shared" si="5"/>
        <v>#REF!</v>
      </c>
      <c r="N47" s="194" t="e">
        <f t="shared" si="1"/>
        <v>#REF!</v>
      </c>
      <c r="O47" s="192" t="e">
        <f t="shared" si="2"/>
        <v>#REF!</v>
      </c>
      <c r="P47" s="194" t="e">
        <f t="shared" si="12"/>
        <v>#REF!</v>
      </c>
      <c r="Q47" s="194" t="e">
        <f t="shared" si="6"/>
        <v>#REF!</v>
      </c>
      <c r="R47" s="195" t="e">
        <f t="shared" si="8"/>
        <v>#REF!</v>
      </c>
      <c r="S47" s="194" t="e">
        <f t="shared" si="9"/>
        <v>#REF!</v>
      </c>
      <c r="T47" s="194" t="e">
        <f t="shared" si="10"/>
        <v>#REF!</v>
      </c>
    </row>
    <row r="48" spans="1:20" s="56" customFormat="1" ht="16.5" customHeight="1" x14ac:dyDescent="0.25">
      <c r="A48" s="69">
        <v>3</v>
      </c>
      <c r="B48" s="70" t="s">
        <v>47</v>
      </c>
      <c r="D48" s="201">
        <f>VLOOKUP(B48,'WF Need'!$B$7:$AB$64,27, FALSE)</f>
        <v>30835346.898725338</v>
      </c>
      <c r="E48" s="97">
        <f t="shared" si="3"/>
        <v>1.119592984879992E-2</v>
      </c>
      <c r="F48" s="9" t="e">
        <f>#REF!</f>
        <v>#REF!</v>
      </c>
      <c r="H48" s="207" t="e">
        <f>IF(F48&lt;Floors!$E$4,Floors!$E$4, "-")</f>
        <v>#REF!</v>
      </c>
      <c r="I48" s="69" t="e">
        <f t="shared" si="4"/>
        <v>#REF!</v>
      </c>
      <c r="J48" s="204" t="e">
        <f>IF(I48="Y",VLOOKUP(B48,#REF!,2,FALSE)*1.1,"N/A ")</f>
        <v>#REF!</v>
      </c>
      <c r="K48" s="204" t="e">
        <f t="shared" si="0"/>
        <v>#REF!</v>
      </c>
      <c r="M48" s="204" t="e">
        <f t="shared" si="5"/>
        <v>#REF!</v>
      </c>
      <c r="N48" s="194" t="e">
        <f t="shared" si="1"/>
        <v>#REF!</v>
      </c>
      <c r="O48" s="192" t="e">
        <f t="shared" si="2"/>
        <v>#REF!</v>
      </c>
      <c r="P48" s="194" t="e">
        <f t="shared" si="12"/>
        <v>#REF!</v>
      </c>
      <c r="Q48" s="194" t="e">
        <f t="shared" si="6"/>
        <v>#REF!</v>
      </c>
      <c r="R48" s="195" t="e">
        <f t="shared" si="8"/>
        <v>#REF!</v>
      </c>
      <c r="S48" s="194" t="e">
        <f t="shared" si="9"/>
        <v>#REF!</v>
      </c>
      <c r="T48" s="194" t="e">
        <f t="shared" si="10"/>
        <v>#REF!</v>
      </c>
    </row>
    <row r="49" spans="1:20" s="56" customFormat="1" ht="16.5" customHeight="1" x14ac:dyDescent="0.25">
      <c r="A49" s="69">
        <v>4</v>
      </c>
      <c r="B49" s="70" t="s">
        <v>61</v>
      </c>
      <c r="D49" s="201">
        <f>VLOOKUP(B49,'WF Need'!$B$7:$AB$64,27, FALSE)</f>
        <v>104543924.35035498</v>
      </c>
      <c r="E49" s="97">
        <f t="shared" si="3"/>
        <v>3.7958594952379292E-2</v>
      </c>
      <c r="F49" s="9" t="e">
        <f>#REF!</f>
        <v>#REF!</v>
      </c>
      <c r="H49" s="207" t="e">
        <f>IF(F49&lt;Floors!$E$4,Floors!$E$4, "-")</f>
        <v>#REF!</v>
      </c>
      <c r="I49" s="69" t="e">
        <f t="shared" si="4"/>
        <v>#REF!</v>
      </c>
      <c r="J49" s="204" t="e">
        <f>IF(I49="Y",VLOOKUP(B49,#REF!,2,FALSE)*1.1,"N/A ")</f>
        <v>#REF!</v>
      </c>
      <c r="K49" s="204" t="e">
        <f t="shared" si="0"/>
        <v>#REF!</v>
      </c>
      <c r="M49" s="204" t="e">
        <f t="shared" si="5"/>
        <v>#REF!</v>
      </c>
      <c r="N49" s="194" t="e">
        <f t="shared" si="1"/>
        <v>#REF!</v>
      </c>
      <c r="O49" s="192" t="e">
        <f t="shared" si="2"/>
        <v>#REF!</v>
      </c>
      <c r="P49" s="194" t="e">
        <f t="shared" si="12"/>
        <v>#REF!</v>
      </c>
      <c r="Q49" s="194" t="e">
        <f t="shared" si="6"/>
        <v>#REF!</v>
      </c>
      <c r="R49" s="195" t="e">
        <f t="shared" si="8"/>
        <v>#REF!</v>
      </c>
      <c r="S49" s="194" t="e">
        <f t="shared" si="9"/>
        <v>#REF!</v>
      </c>
      <c r="T49" s="194" t="e">
        <f t="shared" si="10"/>
        <v>#REF!</v>
      </c>
    </row>
    <row r="50" spans="1:20" s="56" customFormat="1" ht="16.5" customHeight="1" x14ac:dyDescent="0.25">
      <c r="A50" s="69">
        <v>2</v>
      </c>
      <c r="B50" s="70" t="s">
        <v>33</v>
      </c>
      <c r="D50" s="201">
        <f>VLOOKUP(B50,'WF Need'!$B$7:$AB$64,27, FALSE)</f>
        <v>18583837.73710452</v>
      </c>
      <c r="E50" s="97">
        <f t="shared" si="3"/>
        <v>6.7475596856250613E-3</v>
      </c>
      <c r="F50" s="9" t="e">
        <f>#REF!</f>
        <v>#REF!</v>
      </c>
      <c r="H50" s="207" t="e">
        <f>IF(F50&lt;Floors!$E$4,Floors!$E$4, "-")</f>
        <v>#REF!</v>
      </c>
      <c r="I50" s="69" t="e">
        <f t="shared" si="4"/>
        <v>#REF!</v>
      </c>
      <c r="J50" s="204" t="e">
        <f>IF(I50="Y",VLOOKUP(B50,#REF!,2,FALSE)*1.1,"N/A ")</f>
        <v>#REF!</v>
      </c>
      <c r="K50" s="204" t="e">
        <f t="shared" si="0"/>
        <v>#REF!</v>
      </c>
      <c r="M50" s="204" t="e">
        <f t="shared" si="5"/>
        <v>#REF!</v>
      </c>
      <c r="N50" s="194" t="e">
        <f t="shared" si="1"/>
        <v>#REF!</v>
      </c>
      <c r="O50" s="192" t="e">
        <f t="shared" si="2"/>
        <v>#REF!</v>
      </c>
      <c r="P50" s="194" t="e">
        <f t="shared" si="12"/>
        <v>#REF!</v>
      </c>
      <c r="Q50" s="194" t="e">
        <f t="shared" si="6"/>
        <v>#REF!</v>
      </c>
      <c r="R50" s="195" t="e">
        <f t="shared" si="8"/>
        <v>#REF!</v>
      </c>
      <c r="S50" s="194" t="e">
        <f t="shared" si="9"/>
        <v>#REF!</v>
      </c>
      <c r="T50" s="194" t="e">
        <f t="shared" si="10"/>
        <v>#REF!</v>
      </c>
    </row>
    <row r="51" spans="1:20" s="56" customFormat="1" ht="16.5" customHeight="1" x14ac:dyDescent="0.25">
      <c r="A51" s="69">
        <v>2</v>
      </c>
      <c r="B51" s="70" t="s">
        <v>34</v>
      </c>
      <c r="D51" s="201">
        <f>VLOOKUP(B51,'WF Need'!$B$7:$AB$64,27, FALSE)</f>
        <v>16930842.38751762</v>
      </c>
      <c r="E51" s="97">
        <f t="shared" si="3"/>
        <v>6.1473776920463723E-3</v>
      </c>
      <c r="F51" s="9" t="e">
        <f>#REF!</f>
        <v>#REF!</v>
      </c>
      <c r="H51" s="207" t="e">
        <f>IF(F51&lt;Floors!$E$4,Floors!$E$4, "-")</f>
        <v>#REF!</v>
      </c>
      <c r="I51" s="69" t="e">
        <f t="shared" si="4"/>
        <v>#REF!</v>
      </c>
      <c r="J51" s="204" t="e">
        <f>IF(I51="Y",VLOOKUP(B51,#REF!,2,FALSE)*1.1,"N/A ")</f>
        <v>#REF!</v>
      </c>
      <c r="K51" s="204" t="e">
        <f t="shared" si="0"/>
        <v>#REF!</v>
      </c>
      <c r="M51" s="204" t="e">
        <f t="shared" si="5"/>
        <v>#REF!</v>
      </c>
      <c r="N51" s="194" t="e">
        <f t="shared" si="1"/>
        <v>#REF!</v>
      </c>
      <c r="O51" s="192" t="e">
        <f t="shared" si="2"/>
        <v>#REF!</v>
      </c>
      <c r="P51" s="194" t="e">
        <f t="shared" si="12"/>
        <v>#REF!</v>
      </c>
      <c r="Q51" s="194" t="e">
        <f t="shared" si="6"/>
        <v>#REF!</v>
      </c>
      <c r="R51" s="195" t="e">
        <f t="shared" si="8"/>
        <v>#REF!</v>
      </c>
      <c r="S51" s="194" t="e">
        <f t="shared" si="9"/>
        <v>#REF!</v>
      </c>
      <c r="T51" s="194" t="e">
        <f t="shared" si="10"/>
        <v>#REF!</v>
      </c>
    </row>
    <row r="52" spans="1:20" s="56" customFormat="1" ht="16.5" customHeight="1" x14ac:dyDescent="0.25">
      <c r="A52" s="69">
        <v>1</v>
      </c>
      <c r="B52" s="70" t="s">
        <v>17</v>
      </c>
      <c r="D52" s="201">
        <f>VLOOKUP(B52,'WF Need'!$B$7:$AB$64,27, FALSE)</f>
        <v>405753.6521603986</v>
      </c>
      <c r="E52" s="97">
        <f t="shared" si="3"/>
        <v>1.4732409012301319E-4</v>
      </c>
      <c r="F52" s="9" t="e">
        <f>#REF!</f>
        <v>#REF!</v>
      </c>
      <c r="H52" s="207" t="e">
        <f>IF(F52&lt;Floors!$E$4,Floors!$E$4, "-")</f>
        <v>#REF!</v>
      </c>
      <c r="I52" s="69" t="e">
        <f t="shared" si="4"/>
        <v>#REF!</v>
      </c>
      <c r="J52" s="204" t="e">
        <f>IF(I52="Y",VLOOKUP(B52,#REF!,2,FALSE)*1.1,"N/A ")</f>
        <v>#REF!</v>
      </c>
      <c r="K52" s="204" t="e">
        <f>IF(I52="Y",F52, "N/A ")</f>
        <v>#REF!</v>
      </c>
      <c r="M52" s="205" t="e">
        <f t="shared" si="5"/>
        <v>#REF!</v>
      </c>
      <c r="N52" s="194" t="e">
        <f t="shared" si="1"/>
        <v>#REF!</v>
      </c>
      <c r="O52" s="194" t="e">
        <f t="shared" si="2"/>
        <v>#REF!</v>
      </c>
      <c r="P52" s="194" t="e">
        <f t="shared" si="12"/>
        <v>#REF!</v>
      </c>
      <c r="Q52" s="194" t="e">
        <f t="shared" si="6"/>
        <v>#REF!</v>
      </c>
      <c r="R52" s="195" t="e">
        <f t="shared" si="8"/>
        <v>#REF!</v>
      </c>
      <c r="S52" s="194" t="e">
        <f t="shared" si="9"/>
        <v>#REF!</v>
      </c>
      <c r="T52" s="194" t="e">
        <f t="shared" si="10"/>
        <v>#REF!</v>
      </c>
    </row>
    <row r="53" spans="1:20" s="56" customFormat="1" ht="16.5" customHeight="1" x14ac:dyDescent="0.25">
      <c r="A53" s="69">
        <v>2</v>
      </c>
      <c r="B53" s="70" t="s">
        <v>35</v>
      </c>
      <c r="D53" s="201">
        <f>VLOOKUP(B53,'WF Need'!$B$7:$AB$64,27, FALSE)</f>
        <v>4512233.5287036272</v>
      </c>
      <c r="E53" s="97">
        <f t="shared" si="3"/>
        <v>1.638335713059776E-3</v>
      </c>
      <c r="F53" s="9" t="e">
        <f>#REF!</f>
        <v>#REF!</v>
      </c>
      <c r="H53" s="207" t="e">
        <f>IF(F53&lt;Floors!$E$4,Floors!$E$4, "-")</f>
        <v>#REF!</v>
      </c>
      <c r="I53" s="69" t="e">
        <f t="shared" si="4"/>
        <v>#REF!</v>
      </c>
      <c r="J53" s="204" t="e">
        <f>IF(I53="Y",VLOOKUP(B53,#REF!,2,FALSE)*1.1,"N/A ")</f>
        <v>#REF!</v>
      </c>
      <c r="K53" s="204" t="e">
        <f t="shared" si="0"/>
        <v>#REF!</v>
      </c>
      <c r="M53" s="204" t="e">
        <f t="shared" si="5"/>
        <v>#REF!</v>
      </c>
      <c r="N53" s="194" t="e">
        <f t="shared" si="1"/>
        <v>#REF!</v>
      </c>
      <c r="O53" s="192" t="e">
        <f t="shared" si="2"/>
        <v>#REF!</v>
      </c>
      <c r="P53" s="194" t="e">
        <f t="shared" si="12"/>
        <v>#REF!</v>
      </c>
      <c r="Q53" s="194" t="e">
        <f t="shared" si="6"/>
        <v>#REF!</v>
      </c>
      <c r="R53" s="195" t="e">
        <f t="shared" si="8"/>
        <v>#REF!</v>
      </c>
      <c r="S53" s="194" t="e">
        <f t="shared" si="9"/>
        <v>#REF!</v>
      </c>
      <c r="T53" s="194" t="e">
        <f t="shared" si="10"/>
        <v>#REF!</v>
      </c>
    </row>
    <row r="54" spans="1:20" s="56" customFormat="1" ht="16.5" customHeight="1" x14ac:dyDescent="0.25">
      <c r="A54" s="69">
        <v>3</v>
      </c>
      <c r="B54" s="70" t="s">
        <v>48</v>
      </c>
      <c r="D54" s="201">
        <f>VLOOKUP(B54,'WF Need'!$B$7:$AB$64,27, FALSE)</f>
        <v>32364148.222190667</v>
      </c>
      <c r="E54" s="97">
        <f t="shared" si="3"/>
        <v>1.175101854056936E-2</v>
      </c>
      <c r="F54" s="9" t="e">
        <f>#REF!</f>
        <v>#REF!</v>
      </c>
      <c r="H54" s="207" t="e">
        <f>IF(F54&lt;Floors!$E$4,Floors!$E$4, "-")</f>
        <v>#REF!</v>
      </c>
      <c r="I54" s="69" t="e">
        <f t="shared" si="4"/>
        <v>#REF!</v>
      </c>
      <c r="J54" s="204" t="e">
        <f>IF(I54="Y",VLOOKUP(B54,#REF!,2,FALSE)*1.1,"N/A ")</f>
        <v>#REF!</v>
      </c>
      <c r="K54" s="204" t="e">
        <f t="shared" si="0"/>
        <v>#REF!</v>
      </c>
      <c r="M54" s="204" t="e">
        <f t="shared" si="5"/>
        <v>#REF!</v>
      </c>
      <c r="N54" s="194" t="e">
        <f t="shared" si="1"/>
        <v>#REF!</v>
      </c>
      <c r="O54" s="192" t="e">
        <f t="shared" si="2"/>
        <v>#REF!</v>
      </c>
      <c r="P54" s="194" t="e">
        <f t="shared" si="12"/>
        <v>#REF!</v>
      </c>
      <c r="Q54" s="194" t="e">
        <f t="shared" si="6"/>
        <v>#REF!</v>
      </c>
      <c r="R54" s="195" t="e">
        <f t="shared" si="8"/>
        <v>#REF!</v>
      </c>
      <c r="S54" s="194" t="e">
        <f t="shared" si="9"/>
        <v>#REF!</v>
      </c>
      <c r="T54" s="194" t="e">
        <f t="shared" si="10"/>
        <v>#REF!</v>
      </c>
    </row>
    <row r="55" spans="1:20" s="56" customFormat="1" ht="16.5" customHeight="1" x14ac:dyDescent="0.25">
      <c r="A55" s="69">
        <v>3</v>
      </c>
      <c r="B55" s="70" t="s">
        <v>49</v>
      </c>
      <c r="D55" s="201">
        <f>VLOOKUP(B55,'WF Need'!$B$7:$AB$64,27, FALSE)</f>
        <v>32871831.367461272</v>
      </c>
      <c r="E55" s="97">
        <f t="shared" si="3"/>
        <v>1.1935351958271327E-2</v>
      </c>
      <c r="F55" s="9" t="e">
        <f>#REF!</f>
        <v>#REF!</v>
      </c>
      <c r="H55" s="207" t="e">
        <f>IF(F55&lt;Floors!$E$4,Floors!$E$4, "-")</f>
        <v>#REF!</v>
      </c>
      <c r="I55" s="69" t="e">
        <f t="shared" si="4"/>
        <v>#REF!</v>
      </c>
      <c r="J55" s="204" t="e">
        <f>IF(I55="Y",VLOOKUP(B55,#REF!,2,FALSE)*1.1,"N/A ")</f>
        <v>#REF!</v>
      </c>
      <c r="K55" s="204" t="e">
        <f t="shared" si="0"/>
        <v>#REF!</v>
      </c>
      <c r="M55" s="204" t="e">
        <f t="shared" si="5"/>
        <v>#REF!</v>
      </c>
      <c r="N55" s="194" t="e">
        <f t="shared" si="1"/>
        <v>#REF!</v>
      </c>
      <c r="O55" s="192" t="e">
        <f t="shared" si="2"/>
        <v>#REF!</v>
      </c>
      <c r="P55" s="194" t="e">
        <f>IF(M55="n/a",(IF(AND(H55=750000,(F55&gt;750000)), H55-F55, 0)),M55-F55)</f>
        <v>#REF!</v>
      </c>
      <c r="Q55" s="194" t="e">
        <f t="shared" si="6"/>
        <v>#REF!</v>
      </c>
      <c r="R55" s="195" t="e">
        <f t="shared" si="8"/>
        <v>#REF!</v>
      </c>
      <c r="S55" s="194" t="e">
        <f t="shared" si="9"/>
        <v>#REF!</v>
      </c>
      <c r="T55" s="194" t="e">
        <f t="shared" si="10"/>
        <v>#REF!</v>
      </c>
    </row>
    <row r="56" spans="1:20" s="56" customFormat="1" ht="16.5" customHeight="1" x14ac:dyDescent="0.25">
      <c r="A56" s="69">
        <v>3</v>
      </c>
      <c r="B56" s="70" t="s">
        <v>50</v>
      </c>
      <c r="D56" s="201">
        <f>VLOOKUP(B56,'WF Need'!$B$7:$AB$64,27, FALSE)</f>
        <v>35282048.399092562</v>
      </c>
      <c r="E56" s="97">
        <f t="shared" si="3"/>
        <v>1.2810471699753535E-2</v>
      </c>
      <c r="F56" s="9" t="e">
        <f>#REF!</f>
        <v>#REF!</v>
      </c>
      <c r="H56" s="207" t="e">
        <f>IF(F56&lt;Floors!$E$4,Floors!$E$4, "-")</f>
        <v>#REF!</v>
      </c>
      <c r="I56" s="69" t="e">
        <f t="shared" si="4"/>
        <v>#REF!</v>
      </c>
      <c r="J56" s="204" t="e">
        <f>IF(I56="Y",VLOOKUP(B56,#REF!,2,FALSE)*1.1,"N/A ")</f>
        <v>#REF!</v>
      </c>
      <c r="K56" s="204" t="e">
        <f t="shared" si="0"/>
        <v>#REF!</v>
      </c>
      <c r="M56" s="204" t="e">
        <f t="shared" si="5"/>
        <v>#REF!</v>
      </c>
      <c r="N56" s="194" t="e">
        <f t="shared" si="1"/>
        <v>#REF!</v>
      </c>
      <c r="O56" s="192" t="e">
        <f t="shared" si="2"/>
        <v>#REF!</v>
      </c>
      <c r="P56" s="194" t="e">
        <f>IF(M56="n/a",(IF(AND(H56=750000,(F56&gt;750000)), H56-F56, 0)),M56-F56)</f>
        <v>#REF!</v>
      </c>
      <c r="Q56" s="194" t="e">
        <f t="shared" si="6"/>
        <v>#REF!</v>
      </c>
      <c r="R56" s="195" t="e">
        <f t="shared" si="8"/>
        <v>#REF!</v>
      </c>
      <c r="S56" s="194" t="e">
        <f t="shared" si="9"/>
        <v>#REF!</v>
      </c>
      <c r="T56" s="194" t="e">
        <f t="shared" si="10"/>
        <v>#REF!</v>
      </c>
    </row>
    <row r="57" spans="1:20" s="56" customFormat="1" ht="16.5" customHeight="1" x14ac:dyDescent="0.25">
      <c r="A57" s="69">
        <v>2</v>
      </c>
      <c r="B57" s="70" t="s">
        <v>36</v>
      </c>
      <c r="D57" s="201">
        <f>VLOOKUP(B57,'WF Need'!$B$7:$AB$64,27, FALSE)</f>
        <v>9183120.7926147375</v>
      </c>
      <c r="E57" s="97">
        <f t="shared" si="3"/>
        <v>3.3342766184810001E-3</v>
      </c>
      <c r="F57" s="9" t="e">
        <f>#REF!</f>
        <v>#REF!</v>
      </c>
      <c r="H57" s="207" t="e">
        <f>IF(F57&lt;Floors!$E$4,Floors!$E$4, "-")</f>
        <v>#REF!</v>
      </c>
      <c r="I57" s="69" t="e">
        <f t="shared" si="4"/>
        <v>#REF!</v>
      </c>
      <c r="J57" s="204" t="e">
        <f>IF(I57="Y",VLOOKUP(B57,#REF!,2,FALSE)*1.1,"N/A ")</f>
        <v>#REF!</v>
      </c>
      <c r="K57" s="204" t="e">
        <f t="shared" si="0"/>
        <v>#REF!</v>
      </c>
      <c r="M57" s="204" t="e">
        <f t="shared" si="5"/>
        <v>#REF!</v>
      </c>
      <c r="N57" s="194" t="e">
        <f t="shared" si="1"/>
        <v>#REF!</v>
      </c>
      <c r="O57" s="192" t="e">
        <f t="shared" si="2"/>
        <v>#REF!</v>
      </c>
      <c r="P57" s="194" t="e">
        <f t="shared" ref="P57:P64" si="13">IF(M57="n/a",(IF(AND(H57=750000,(F57&gt;750000)), H57-F57, 0)),M57-F57)</f>
        <v>#REF!</v>
      </c>
      <c r="Q57" s="194" t="e">
        <f t="shared" si="6"/>
        <v>#REF!</v>
      </c>
      <c r="R57" s="195" t="e">
        <f t="shared" si="8"/>
        <v>#REF!</v>
      </c>
      <c r="S57" s="194" t="e">
        <f t="shared" si="9"/>
        <v>#REF!</v>
      </c>
      <c r="T57" s="194" t="e">
        <f t="shared" si="10"/>
        <v>#REF!</v>
      </c>
    </row>
    <row r="58" spans="1:20" s="56" customFormat="1" ht="16.5" customHeight="1" x14ac:dyDescent="0.25">
      <c r="A58" s="69">
        <v>2</v>
      </c>
      <c r="B58" s="70" t="s">
        <v>37</v>
      </c>
      <c r="D58" s="201">
        <f>VLOOKUP(B58,'WF Need'!$B$7:$AB$64,27, FALSE)</f>
        <v>6309266.3502482707</v>
      </c>
      <c r="E58" s="97">
        <f t="shared" si="3"/>
        <v>2.2908159161229855E-3</v>
      </c>
      <c r="F58" s="9" t="e">
        <f>#REF!</f>
        <v>#REF!</v>
      </c>
      <c r="H58" s="207" t="e">
        <f>IF(F58&lt;Floors!$E$4,Floors!$E$4, "-")</f>
        <v>#REF!</v>
      </c>
      <c r="I58" s="69" t="e">
        <f t="shared" si="4"/>
        <v>#REF!</v>
      </c>
      <c r="J58" s="204" t="e">
        <f>IF(I58="Y",VLOOKUP(B58,#REF!,2,FALSE)*1.1,"N/A ")</f>
        <v>#REF!</v>
      </c>
      <c r="K58" s="204" t="e">
        <f t="shared" si="0"/>
        <v>#REF!</v>
      </c>
      <c r="M58" s="204" t="e">
        <f t="shared" si="5"/>
        <v>#REF!</v>
      </c>
      <c r="N58" s="194" t="e">
        <f t="shared" si="1"/>
        <v>#REF!</v>
      </c>
      <c r="O58" s="192" t="e">
        <f t="shared" si="2"/>
        <v>#REF!</v>
      </c>
      <c r="P58" s="194" t="e">
        <f t="shared" si="13"/>
        <v>#REF!</v>
      </c>
      <c r="Q58" s="194" t="e">
        <f t="shared" si="6"/>
        <v>#REF!</v>
      </c>
      <c r="R58" s="195" t="e">
        <f t="shared" si="8"/>
        <v>#REF!</v>
      </c>
      <c r="S58" s="194" t="e">
        <f t="shared" si="9"/>
        <v>#REF!</v>
      </c>
      <c r="T58" s="194" t="e">
        <f t="shared" si="10"/>
        <v>#REF!</v>
      </c>
    </row>
    <row r="59" spans="1:20" s="56" customFormat="1" ht="16.5" customHeight="1" x14ac:dyDescent="0.25">
      <c r="A59" s="69">
        <v>1</v>
      </c>
      <c r="B59" s="70" t="s">
        <v>18</v>
      </c>
      <c r="D59" s="201">
        <f>VLOOKUP(B59,'WF Need'!$B$7:$AB$64,27, FALSE)</f>
        <v>1957377.02822892</v>
      </c>
      <c r="E59" s="97">
        <f t="shared" si="3"/>
        <v>7.1069918453258427E-4</v>
      </c>
      <c r="F59" s="9" t="e">
        <f>#REF!</f>
        <v>#REF!</v>
      </c>
      <c r="H59" s="207" t="e">
        <f>IF(F59&lt;Floors!$E$4,Floors!$E$4, "-")</f>
        <v>#REF!</v>
      </c>
      <c r="I59" s="69" t="e">
        <f t="shared" si="4"/>
        <v>#REF!</v>
      </c>
      <c r="J59" s="204" t="e">
        <f>IF(I59="Y",VLOOKUP(B59,#REF!,2,FALSE)*1.1,"N/A ")</f>
        <v>#REF!</v>
      </c>
      <c r="K59" s="204" t="e">
        <f t="shared" si="0"/>
        <v>#REF!</v>
      </c>
      <c r="M59" s="204" t="e">
        <f t="shared" si="5"/>
        <v>#REF!</v>
      </c>
      <c r="N59" s="194" t="e">
        <f t="shared" si="1"/>
        <v>#REF!</v>
      </c>
      <c r="O59" s="194" t="e">
        <f t="shared" si="2"/>
        <v>#REF!</v>
      </c>
      <c r="P59" s="194" t="e">
        <f t="shared" si="13"/>
        <v>#REF!</v>
      </c>
      <c r="Q59" s="194" t="e">
        <f t="shared" si="6"/>
        <v>#REF!</v>
      </c>
      <c r="R59" s="195" t="e">
        <f t="shared" si="8"/>
        <v>#REF!</v>
      </c>
      <c r="S59" s="194" t="e">
        <f t="shared" si="9"/>
        <v>#REF!</v>
      </c>
      <c r="T59" s="194" t="e">
        <f t="shared" si="10"/>
        <v>#REF!</v>
      </c>
    </row>
    <row r="60" spans="1:20" s="56" customFormat="1" ht="16.5" customHeight="1" x14ac:dyDescent="0.25">
      <c r="A60" s="69">
        <v>3</v>
      </c>
      <c r="B60" s="70" t="s">
        <v>51</v>
      </c>
      <c r="D60" s="201">
        <f>VLOOKUP(B60,'WF Need'!$B$7:$AB$64,27, FALSE)</f>
        <v>33580725.53291133</v>
      </c>
      <c r="E60" s="97">
        <f t="shared" si="3"/>
        <v>1.2192742587689882E-2</v>
      </c>
      <c r="F60" s="9" t="e">
        <f>#REF!</f>
        <v>#REF!</v>
      </c>
      <c r="H60" s="207" t="e">
        <f>IF(F60&lt;Floors!$E$4,Floors!$E$4, "-")</f>
        <v>#REF!</v>
      </c>
      <c r="I60" s="69" t="e">
        <f t="shared" si="4"/>
        <v>#REF!</v>
      </c>
      <c r="J60" s="204" t="e">
        <f>IF(I60="Y",VLOOKUP(B60,#REF!,2,FALSE)*1.1,"N/A ")</f>
        <v>#REF!</v>
      </c>
      <c r="K60" s="204" t="e">
        <f t="shared" si="0"/>
        <v>#REF!</v>
      </c>
      <c r="M60" s="204" t="e">
        <f t="shared" si="5"/>
        <v>#REF!</v>
      </c>
      <c r="N60" s="194" t="e">
        <f t="shared" si="1"/>
        <v>#REF!</v>
      </c>
      <c r="O60" s="192" t="e">
        <f t="shared" si="2"/>
        <v>#REF!</v>
      </c>
      <c r="P60" s="194" t="e">
        <f t="shared" si="13"/>
        <v>#REF!</v>
      </c>
      <c r="Q60" s="194" t="e">
        <f t="shared" si="6"/>
        <v>#REF!</v>
      </c>
      <c r="R60" s="195" t="e">
        <f t="shared" si="8"/>
        <v>#REF!</v>
      </c>
      <c r="S60" s="194" t="e">
        <f t="shared" si="9"/>
        <v>#REF!</v>
      </c>
      <c r="T60" s="194" t="e">
        <f t="shared" si="10"/>
        <v>#REF!</v>
      </c>
    </row>
    <row r="61" spans="1:20" s="56" customFormat="1" ht="16.5" customHeight="1" x14ac:dyDescent="0.25">
      <c r="A61" s="69">
        <v>2</v>
      </c>
      <c r="B61" s="70" t="s">
        <v>38</v>
      </c>
      <c r="D61" s="201">
        <f>VLOOKUP(B61,'WF Need'!$B$7:$AB$64,27, FALSE)</f>
        <v>4989741.3203672785</v>
      </c>
      <c r="E61" s="97">
        <f t="shared" si="3"/>
        <v>1.8117128362450711E-3</v>
      </c>
      <c r="F61" s="9" t="e">
        <f>#REF!</f>
        <v>#REF!</v>
      </c>
      <c r="H61" s="207" t="e">
        <f>IF(F61&lt;Floors!$E$4,Floors!$E$4, "-")</f>
        <v>#REF!</v>
      </c>
      <c r="I61" s="69" t="e">
        <f t="shared" si="4"/>
        <v>#REF!</v>
      </c>
      <c r="J61" s="204" t="e">
        <f>IF(I61="Y",VLOOKUP(B61,#REF!,2,FALSE)*1.1,"N/A ")</f>
        <v>#REF!</v>
      </c>
      <c r="K61" s="204" t="e">
        <f t="shared" si="0"/>
        <v>#REF!</v>
      </c>
      <c r="M61" s="204" t="e">
        <f t="shared" si="5"/>
        <v>#REF!</v>
      </c>
      <c r="N61" s="194" t="e">
        <f t="shared" si="1"/>
        <v>#REF!</v>
      </c>
      <c r="O61" s="192" t="e">
        <f t="shared" si="2"/>
        <v>#REF!</v>
      </c>
      <c r="P61" s="194" t="e">
        <f t="shared" si="13"/>
        <v>#REF!</v>
      </c>
      <c r="Q61" s="194" t="e">
        <f t="shared" si="6"/>
        <v>#REF!</v>
      </c>
      <c r="R61" s="195" t="e">
        <f t="shared" si="8"/>
        <v>#REF!</v>
      </c>
      <c r="S61" s="194" t="e">
        <f t="shared" si="9"/>
        <v>#REF!</v>
      </c>
      <c r="T61" s="194" t="e">
        <f t="shared" si="10"/>
        <v>#REF!</v>
      </c>
    </row>
    <row r="62" spans="1:20" s="56" customFormat="1" ht="16.5" customHeight="1" x14ac:dyDescent="0.25">
      <c r="A62" s="69">
        <v>3</v>
      </c>
      <c r="B62" s="70" t="s">
        <v>52</v>
      </c>
      <c r="D62" s="201">
        <f>VLOOKUP(B62,'WF Need'!$B$7:$AB$64,27, FALSE)</f>
        <v>50901751.759995237</v>
      </c>
      <c r="E62" s="97">
        <f t="shared" si="3"/>
        <v>1.8481791165109045E-2</v>
      </c>
      <c r="F62" s="9" t="e">
        <f>#REF!</f>
        <v>#REF!</v>
      </c>
      <c r="H62" s="207" t="e">
        <f>IF(F62&lt;Floors!$E$4,Floors!$E$4, "-")</f>
        <v>#REF!</v>
      </c>
      <c r="I62" s="69" t="e">
        <f t="shared" si="4"/>
        <v>#REF!</v>
      </c>
      <c r="J62" s="204" t="e">
        <f>IF(I62="Y",VLOOKUP(B62,#REF!,2,FALSE)*1.1,"N/A ")</f>
        <v>#REF!</v>
      </c>
      <c r="K62" s="204" t="e">
        <f t="shared" si="0"/>
        <v>#REF!</v>
      </c>
      <c r="M62" s="204" t="e">
        <f t="shared" si="5"/>
        <v>#REF!</v>
      </c>
      <c r="N62" s="194" t="e">
        <f t="shared" si="1"/>
        <v>#REF!</v>
      </c>
      <c r="O62" s="192" t="e">
        <f t="shared" si="2"/>
        <v>#REF!</v>
      </c>
      <c r="P62" s="194" t="e">
        <f t="shared" si="13"/>
        <v>#REF!</v>
      </c>
      <c r="Q62" s="194" t="e">
        <f t="shared" si="6"/>
        <v>#REF!</v>
      </c>
      <c r="R62" s="195" t="e">
        <f t="shared" si="8"/>
        <v>#REF!</v>
      </c>
      <c r="S62" s="194" t="e">
        <f t="shared" si="9"/>
        <v>#REF!</v>
      </c>
      <c r="T62" s="194" t="e">
        <f t="shared" si="10"/>
        <v>#REF!</v>
      </c>
    </row>
    <row r="63" spans="1:20" s="56" customFormat="1" ht="16.5" customHeight="1" x14ac:dyDescent="0.25">
      <c r="A63" s="69">
        <v>2</v>
      </c>
      <c r="B63" s="70" t="s">
        <v>39</v>
      </c>
      <c r="D63" s="201">
        <f>VLOOKUP(B63,'WF Need'!$B$7:$AB$64,27, FALSE)</f>
        <v>17607955.335067444</v>
      </c>
      <c r="E63" s="97">
        <f t="shared" si="3"/>
        <v>6.3932289576533541E-3</v>
      </c>
      <c r="F63" s="9" t="e">
        <f>#REF!</f>
        <v>#REF!</v>
      </c>
      <c r="H63" s="207" t="e">
        <f>IF(F63&lt;Floors!$E$4,Floors!$E$4, "-")</f>
        <v>#REF!</v>
      </c>
      <c r="I63" s="69" t="e">
        <f t="shared" si="4"/>
        <v>#REF!</v>
      </c>
      <c r="J63" s="204" t="e">
        <f>IF(I63="Y",VLOOKUP(B63,#REF!,2,FALSE)*1.1,"N/A ")</f>
        <v>#REF!</v>
      </c>
      <c r="K63" s="204" t="e">
        <f t="shared" si="0"/>
        <v>#REF!</v>
      </c>
      <c r="M63" s="204" t="e">
        <f t="shared" si="5"/>
        <v>#REF!</v>
      </c>
      <c r="N63" s="194" t="e">
        <f t="shared" si="1"/>
        <v>#REF!</v>
      </c>
      <c r="O63" s="192" t="e">
        <f t="shared" si="2"/>
        <v>#REF!</v>
      </c>
      <c r="P63" s="194" t="e">
        <f t="shared" si="13"/>
        <v>#REF!</v>
      </c>
      <c r="Q63" s="194" t="e">
        <f t="shared" si="6"/>
        <v>#REF!</v>
      </c>
      <c r="R63" s="195" t="e">
        <f t="shared" si="8"/>
        <v>#REF!</v>
      </c>
      <c r="S63" s="194" t="e">
        <f t="shared" si="9"/>
        <v>#REF!</v>
      </c>
      <c r="T63" s="194" t="e">
        <f t="shared" si="10"/>
        <v>#REF!</v>
      </c>
    </row>
    <row r="64" spans="1:20" s="56" customFormat="1" ht="16.5" customHeight="1" x14ac:dyDescent="0.25">
      <c r="A64" s="69">
        <v>2</v>
      </c>
      <c r="B64" s="70" t="s">
        <v>40</v>
      </c>
      <c r="D64" s="201">
        <f>VLOOKUP(B64,'WF Need'!$B$7:$AB$64,27, FALSE)</f>
        <v>5150429.0825688168</v>
      </c>
      <c r="E64" s="97">
        <f t="shared" si="3"/>
        <v>1.8700565584375863E-3</v>
      </c>
      <c r="F64" s="9" t="e">
        <f>#REF!</f>
        <v>#REF!</v>
      </c>
      <c r="H64" s="207" t="e">
        <f>IF(F64&lt;Floors!$E$4,Floors!$E$4, "-")</f>
        <v>#REF!</v>
      </c>
      <c r="I64" s="69" t="e">
        <f t="shared" si="4"/>
        <v>#REF!</v>
      </c>
      <c r="J64" s="204" t="e">
        <f>IF(I64="Y",VLOOKUP(B64,#REF!,2,FALSE)*1.1,"N/A ")</f>
        <v>#REF!</v>
      </c>
      <c r="K64" s="204" t="e">
        <f t="shared" si="0"/>
        <v>#REF!</v>
      </c>
      <c r="M64" s="204" t="e">
        <f t="shared" si="5"/>
        <v>#REF!</v>
      </c>
      <c r="N64" s="194" t="e">
        <f t="shared" si="1"/>
        <v>#REF!</v>
      </c>
      <c r="O64" s="192" t="e">
        <f t="shared" si="2"/>
        <v>#REF!</v>
      </c>
      <c r="P64" s="194" t="e">
        <f t="shared" si="13"/>
        <v>#REF!</v>
      </c>
      <c r="Q64" s="194" t="e">
        <f t="shared" si="6"/>
        <v>#REF!</v>
      </c>
      <c r="R64" s="195" t="e">
        <f t="shared" si="8"/>
        <v>#REF!</v>
      </c>
      <c r="S64" s="194" t="e">
        <f t="shared" si="9"/>
        <v>#REF!</v>
      </c>
      <c r="T64" s="194" t="e">
        <f t="shared" si="10"/>
        <v>#REF!</v>
      </c>
    </row>
    <row r="65" spans="1:22" ht="16.5" customHeight="1" thickBot="1" x14ac:dyDescent="0.3">
      <c r="B65" s="103" t="s">
        <v>62</v>
      </c>
      <c r="C65" s="56"/>
      <c r="D65" s="208">
        <f>SUM(D7:D64)</f>
        <v>2754156851.2087941</v>
      </c>
      <c r="E65" s="202">
        <f>SUM(E7:E64)</f>
        <v>1</v>
      </c>
      <c r="F65" s="209" t="e">
        <f>SUM(F7:F64)</f>
        <v>#REF!</v>
      </c>
      <c r="G65" s="56"/>
      <c r="H65" s="183"/>
      <c r="I65" s="183"/>
      <c r="J65" s="186"/>
      <c r="K65" s="186"/>
      <c r="L65" s="56"/>
      <c r="M65" s="209" t="e">
        <f t="shared" ref="M65" si="14">SUM(M7:M64)</f>
        <v>#REF!</v>
      </c>
      <c r="N65" s="192"/>
      <c r="O65" s="192"/>
      <c r="P65" s="197" t="e">
        <f t="shared" ref="P65:S65" si="15">SUM(P7:P64)</f>
        <v>#REF!</v>
      </c>
      <c r="Q65" s="197" t="e">
        <f t="shared" si="15"/>
        <v>#REF!</v>
      </c>
      <c r="R65" s="198" t="e">
        <f>SUM(R7:R64)</f>
        <v>#REF!</v>
      </c>
      <c r="S65" s="197" t="e">
        <f t="shared" si="15"/>
        <v>#REF!</v>
      </c>
      <c r="T65" s="197" t="e">
        <f t="shared" ref="T65" si="16">SUM(T7:T64)</f>
        <v>#REF!</v>
      </c>
    </row>
    <row r="66" spans="1:22" ht="15.75" thickTop="1" x14ac:dyDescent="0.25">
      <c r="C66" s="56"/>
      <c r="D66" s="199"/>
      <c r="F66" s="61"/>
      <c r="G66" s="56"/>
      <c r="H66" s="183"/>
      <c r="I66" s="183"/>
      <c r="L66" s="56"/>
      <c r="N66" s="192"/>
      <c r="O66" s="192"/>
      <c r="P66" s="192"/>
      <c r="Q66" s="192"/>
      <c r="R66" s="192"/>
      <c r="S66" s="192"/>
      <c r="T66" s="192"/>
    </row>
    <row r="67" spans="1:22" ht="15" customHeight="1" x14ac:dyDescent="0.25">
      <c r="B67" s="203" t="s">
        <v>194</v>
      </c>
      <c r="C67" s="56"/>
      <c r="D67" s="200"/>
      <c r="G67" s="56"/>
      <c r="H67" s="183"/>
      <c r="I67" s="183"/>
      <c r="K67" s="56"/>
      <c r="L67" s="56"/>
      <c r="M67" s="89"/>
      <c r="N67" s="192"/>
      <c r="O67" s="192"/>
      <c r="P67" s="345" t="s">
        <v>112</v>
      </c>
      <c r="Q67" s="345"/>
      <c r="R67" s="345"/>
      <c r="S67" s="345"/>
      <c r="T67" s="345"/>
      <c r="U67" s="184"/>
      <c r="V67" s="184"/>
    </row>
    <row r="68" spans="1:22" x14ac:dyDescent="0.25">
      <c r="C68" s="56"/>
      <c r="D68" s="199"/>
      <c r="F68" s="61"/>
      <c r="G68" s="56"/>
      <c r="H68" s="183"/>
      <c r="I68" s="183"/>
      <c r="L68" s="56"/>
      <c r="N68" s="192"/>
      <c r="O68" s="192"/>
      <c r="P68" s="345"/>
      <c r="Q68" s="345"/>
      <c r="R68" s="345"/>
      <c r="S68" s="345"/>
      <c r="T68" s="345"/>
      <c r="U68" s="184"/>
      <c r="V68" s="184"/>
    </row>
    <row r="69" spans="1:22" x14ac:dyDescent="0.25">
      <c r="C69" s="56"/>
      <c r="D69" s="199"/>
      <c r="F69" s="61"/>
      <c r="G69" s="56"/>
      <c r="H69" s="183"/>
      <c r="I69" s="183"/>
      <c r="L69" s="56"/>
      <c r="N69" s="192"/>
      <c r="O69" s="192"/>
      <c r="P69" s="345"/>
      <c r="Q69" s="345"/>
      <c r="R69" s="345"/>
      <c r="S69" s="345"/>
      <c r="T69" s="345"/>
    </row>
    <row r="70" spans="1:22" x14ac:dyDescent="0.25">
      <c r="C70" s="56"/>
      <c r="D70" s="199"/>
      <c r="F70" s="61"/>
      <c r="G70" s="56"/>
      <c r="H70" s="183"/>
      <c r="I70" s="183"/>
      <c r="L70" s="56"/>
      <c r="P70" s="184"/>
      <c r="Q70" s="184"/>
      <c r="R70" s="184"/>
      <c r="S70" s="184"/>
      <c r="T70" s="184"/>
    </row>
    <row r="71" spans="1:22" x14ac:dyDescent="0.25">
      <c r="C71" s="56"/>
      <c r="D71" s="199"/>
      <c r="F71" s="61"/>
      <c r="G71" s="56"/>
      <c r="H71" s="183"/>
      <c r="I71" s="183"/>
      <c r="L71" s="56"/>
    </row>
    <row r="72" spans="1:22" x14ac:dyDescent="0.25">
      <c r="D72" s="199"/>
      <c r="F72" s="61"/>
      <c r="H72" s="183"/>
      <c r="I72" s="183"/>
    </row>
    <row r="73" spans="1:22" x14ac:dyDescent="0.25">
      <c r="D73" s="199"/>
      <c r="F73" s="61"/>
      <c r="H73" s="183"/>
      <c r="I73" s="183"/>
    </row>
    <row r="74" spans="1:22" s="56" customFormat="1" x14ac:dyDescent="0.25">
      <c r="A74" s="183"/>
      <c r="C74" s="65"/>
      <c r="E74" s="60"/>
      <c r="F74" s="185"/>
      <c r="G74" s="65"/>
      <c r="H74" s="185"/>
      <c r="I74" s="185"/>
      <c r="J74" s="183"/>
      <c r="K74" s="183"/>
      <c r="L74" s="65"/>
      <c r="M74" s="185"/>
      <c r="P74" s="183"/>
      <c r="Q74" s="183"/>
      <c r="R74" s="183"/>
      <c r="S74" s="183"/>
      <c r="T74" s="183"/>
    </row>
    <row r="75" spans="1:22" x14ac:dyDescent="0.25">
      <c r="P75" s="56"/>
      <c r="Q75" s="56"/>
      <c r="R75" s="56"/>
      <c r="S75" s="56"/>
      <c r="T75" s="56"/>
    </row>
  </sheetData>
  <autoFilter ref="I1:I74" xr:uid="{00000000-0009-0000-0000-00000A000000}"/>
  <mergeCells count="7">
    <mergeCell ref="D4:E4"/>
    <mergeCell ref="A4:B4"/>
    <mergeCell ref="A5:A6"/>
    <mergeCell ref="B5:B6"/>
    <mergeCell ref="P67:T69"/>
    <mergeCell ref="N4:S4"/>
    <mergeCell ref="H4:K4"/>
  </mergeCells>
  <conditionalFormatting sqref="I1:I3 I65:I1048576">
    <cfRule type="cellIs" dxfId="0" priority="1" operator="equal">
      <formula>"Y"</formula>
    </cfRule>
  </conditionalFormatting>
  <printOptions horizontalCentered="1"/>
  <pageMargins left="0.25" right="0.25" top="0.5" bottom="0.25" header="0.3" footer="0.3"/>
  <pageSetup scale="60" orientation="portrait" r:id="rId1"/>
  <rowBreaks count="1" manualBreakCount="1">
    <brk id="35" max="1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pageSetUpPr fitToPage="1"/>
  </sheetPr>
  <dimension ref="A1:E4"/>
  <sheetViews>
    <sheetView zoomScaleNormal="100" zoomScaleSheetLayoutView="100" workbookViewId="0">
      <pane xSplit="1" ySplit="3" topLeftCell="B4" activePane="bottomRight" state="frozen"/>
      <selection pane="topRight" activeCell="B1" sqref="B1"/>
      <selection pane="bottomLeft" activeCell="A6" sqref="A6"/>
      <selection pane="bottomRight" activeCell="A4" sqref="A4"/>
    </sheetView>
  </sheetViews>
  <sheetFormatPr defaultColWidth="9.28515625" defaultRowHeight="15" x14ac:dyDescent="0.25"/>
  <cols>
    <col min="1" max="1" width="29.42578125" style="183" customWidth="1"/>
    <col min="2" max="7" width="16.28515625" style="183" customWidth="1"/>
    <col min="8" max="16384" width="9.28515625" style="183"/>
  </cols>
  <sheetData>
    <row r="1" spans="1:5" ht="20.100000000000001" customHeight="1" x14ac:dyDescent="0.25">
      <c r="A1" s="187" t="s">
        <v>189</v>
      </c>
    </row>
    <row r="2" spans="1:5" ht="20.100000000000001" customHeight="1" x14ac:dyDescent="0.25">
      <c r="A2" s="189" t="s">
        <v>207</v>
      </c>
    </row>
    <row r="3" spans="1:5" ht="20.100000000000001" customHeight="1" x14ac:dyDescent="0.25"/>
    <row r="4" spans="1:5" x14ac:dyDescent="0.25">
      <c r="A4" s="183" t="s">
        <v>209</v>
      </c>
      <c r="E4" s="185">
        <v>800000</v>
      </c>
    </row>
  </sheetData>
  <printOptions horizontalCentered="1"/>
  <pageMargins left="0.75" right="0.75" top="0.75" bottom="0.75" header="0.3" footer="0.3"/>
  <pageSetup scale="9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2060"/>
  </sheetPr>
  <dimension ref="B1:P62"/>
  <sheetViews>
    <sheetView workbookViewId="0">
      <selection activeCell="B2" sqref="B2:K3"/>
    </sheetView>
  </sheetViews>
  <sheetFormatPr defaultColWidth="9.140625" defaultRowHeight="15.75" x14ac:dyDescent="0.25"/>
  <cols>
    <col min="1" max="1" width="5.7109375" style="8" customWidth="1"/>
    <col min="2" max="2" width="15.42578125" style="21" bestFit="1" customWidth="1"/>
    <col min="3" max="3" width="13.7109375" style="8" customWidth="1"/>
    <col min="4" max="4" width="14.5703125" style="8" bestFit="1" customWidth="1"/>
    <col min="5" max="5" width="13.28515625" style="8" bestFit="1" customWidth="1"/>
    <col min="6" max="6" width="13.42578125" style="8" bestFit="1" customWidth="1"/>
    <col min="7" max="7" width="5.7109375" style="8" customWidth="1"/>
    <col min="8" max="8" width="20.85546875" style="8" bestFit="1" customWidth="1"/>
    <col min="9" max="9" width="14.5703125" style="8" bestFit="1" customWidth="1"/>
    <col min="10" max="10" width="14.28515625" style="8" bestFit="1" customWidth="1"/>
    <col min="11" max="11" width="13.42578125" style="8" bestFit="1" customWidth="1"/>
    <col min="12" max="12" width="5.7109375" style="8" customWidth="1"/>
    <col min="13" max="13" width="13.42578125" style="8" bestFit="1" customWidth="1"/>
    <col min="14" max="14" width="12.5703125" style="8" customWidth="1"/>
    <col min="15" max="15" width="18.140625" style="8" bestFit="1" customWidth="1"/>
    <col min="16" max="16" width="10.28515625" style="8" customWidth="1"/>
    <col min="17" max="16384" width="9.140625" style="8"/>
  </cols>
  <sheetData>
    <row r="1" spans="2:16" ht="19.5" thickBot="1" x14ac:dyDescent="0.3">
      <c r="B1" s="18"/>
    </row>
    <row r="2" spans="2:16" s="16" customFormat="1" ht="61.5" customHeight="1" x14ac:dyDescent="0.25">
      <c r="B2" s="29" t="s">
        <v>63</v>
      </c>
      <c r="C2" s="30" t="s">
        <v>102</v>
      </c>
      <c r="D2" s="30" t="s">
        <v>101</v>
      </c>
      <c r="E2" s="30" t="s">
        <v>103</v>
      </c>
      <c r="F2" s="31" t="s">
        <v>104</v>
      </c>
      <c r="G2" s="17"/>
      <c r="H2" s="36" t="s">
        <v>105</v>
      </c>
      <c r="I2" s="30" t="s">
        <v>106</v>
      </c>
      <c r="J2" s="30" t="s">
        <v>107</v>
      </c>
      <c r="K2" s="31" t="s">
        <v>104</v>
      </c>
      <c r="M2" s="36" t="s">
        <v>108</v>
      </c>
      <c r="N2" s="30" t="s">
        <v>110</v>
      </c>
      <c r="O2" s="30" t="s">
        <v>109</v>
      </c>
      <c r="P2" s="31" t="s">
        <v>110</v>
      </c>
    </row>
    <row r="3" spans="2:16" ht="15" x14ac:dyDescent="0.25">
      <c r="B3" s="19" t="s">
        <v>53</v>
      </c>
      <c r="C3" s="23" t="e">
        <f>VLOOKUP(B3,#REF!,2)</f>
        <v>#REF!</v>
      </c>
      <c r="D3" s="23" t="e">
        <f>VLOOKUP(B3,#REF!,3)</f>
        <v>#REF!</v>
      </c>
      <c r="E3" s="15" t="e">
        <f>VLOOKUP(B3,#REF!,4)</f>
        <v>#REF!</v>
      </c>
      <c r="F3" s="24" t="e">
        <f>VLOOKUP(B3,#REF!,5)</f>
        <v>#REF!</v>
      </c>
      <c r="H3" s="32" t="e">
        <f>VLOOKUP(B3,#REF!,4)</f>
        <v>#REF!</v>
      </c>
      <c r="I3" s="23" t="e">
        <f>VLOOKUP(B3,#REF!,5)</f>
        <v>#REF!</v>
      </c>
      <c r="J3" s="15" t="e">
        <f>VLOOKUP(B3,#REF!,6)</f>
        <v>#REF!</v>
      </c>
      <c r="K3" s="24" t="e">
        <f>VLOOKUP(B3,#REF!,7)</f>
        <v>#REF!</v>
      </c>
      <c r="M3" s="32" t="e">
        <f t="shared" ref="M3:M34" si="0">H3-C3</f>
        <v>#REF!</v>
      </c>
      <c r="N3" s="37" t="e">
        <f t="shared" ref="N3:N34" si="1">M3/C3</f>
        <v>#REF!</v>
      </c>
      <c r="O3" s="23" t="e">
        <f t="shared" ref="O3:O34" si="2">I3-D3</f>
        <v>#REF!</v>
      </c>
      <c r="P3" s="38" t="e">
        <f t="shared" ref="P3:P34" si="3">O3/D3</f>
        <v>#REF!</v>
      </c>
    </row>
    <row r="4" spans="2:16" ht="15" x14ac:dyDescent="0.25">
      <c r="B4" s="19" t="s">
        <v>4</v>
      </c>
      <c r="C4" s="23" t="e">
        <f>VLOOKUP(B4,#REF!,2)</f>
        <v>#REF!</v>
      </c>
      <c r="D4" s="23" t="e">
        <f>VLOOKUP(B4,#REF!,3)</f>
        <v>#REF!</v>
      </c>
      <c r="E4" s="15" t="e">
        <f>VLOOKUP(B4,#REF!,4)</f>
        <v>#REF!</v>
      </c>
      <c r="F4" s="24" t="e">
        <f>VLOOKUP(B4,#REF!,5)</f>
        <v>#REF!</v>
      </c>
      <c r="H4" s="32" t="e">
        <f>VLOOKUP(B4,#REF!,4)</f>
        <v>#REF!</v>
      </c>
      <c r="I4" s="23" t="e">
        <f>VLOOKUP(B4,#REF!,5)</f>
        <v>#REF!</v>
      </c>
      <c r="J4" s="15" t="e">
        <f>VLOOKUP(B4,#REF!,6)</f>
        <v>#REF!</v>
      </c>
      <c r="K4" s="24" t="e">
        <f>VLOOKUP(B4,#REF!,7)</f>
        <v>#REF!</v>
      </c>
      <c r="M4" s="32" t="e">
        <f t="shared" si="0"/>
        <v>#REF!</v>
      </c>
      <c r="N4" s="37" t="e">
        <f t="shared" si="1"/>
        <v>#REF!</v>
      </c>
      <c r="O4" s="23" t="e">
        <f t="shared" si="2"/>
        <v>#REF!</v>
      </c>
      <c r="P4" s="38" t="e">
        <f t="shared" si="3"/>
        <v>#REF!</v>
      </c>
    </row>
    <row r="5" spans="2:16" ht="15" x14ac:dyDescent="0.25">
      <c r="B5" s="19" t="s">
        <v>5</v>
      </c>
      <c r="C5" s="23" t="e">
        <f>VLOOKUP(B5,#REF!,2)</f>
        <v>#REF!</v>
      </c>
      <c r="D5" s="23" t="e">
        <f>VLOOKUP(B5,#REF!,3)</f>
        <v>#REF!</v>
      </c>
      <c r="E5" s="15" t="e">
        <f>VLOOKUP(B5,#REF!,4)</f>
        <v>#REF!</v>
      </c>
      <c r="F5" s="24" t="e">
        <f>VLOOKUP(B5,#REF!,5)</f>
        <v>#REF!</v>
      </c>
      <c r="H5" s="32" t="e">
        <f>VLOOKUP(B5,#REF!,4)</f>
        <v>#REF!</v>
      </c>
      <c r="I5" s="23" t="e">
        <f>VLOOKUP(B5,#REF!,5)</f>
        <v>#REF!</v>
      </c>
      <c r="J5" s="15" t="e">
        <f>VLOOKUP(B5,#REF!,6)</f>
        <v>#REF!</v>
      </c>
      <c r="K5" s="24" t="e">
        <f>VLOOKUP(B5,#REF!,7)</f>
        <v>#REF!</v>
      </c>
      <c r="M5" s="32" t="e">
        <f t="shared" si="0"/>
        <v>#REF!</v>
      </c>
      <c r="N5" s="37" t="e">
        <f t="shared" si="1"/>
        <v>#REF!</v>
      </c>
      <c r="O5" s="23" t="e">
        <f t="shared" si="2"/>
        <v>#REF!</v>
      </c>
      <c r="P5" s="38" t="e">
        <f t="shared" si="3"/>
        <v>#REF!</v>
      </c>
    </row>
    <row r="6" spans="2:16" ht="15" x14ac:dyDescent="0.25">
      <c r="B6" s="19" t="s">
        <v>19</v>
      </c>
      <c r="C6" s="23" t="e">
        <f>VLOOKUP(B6,#REF!,2)</f>
        <v>#REF!</v>
      </c>
      <c r="D6" s="23" t="e">
        <f>VLOOKUP(B6,#REF!,3)</f>
        <v>#REF!</v>
      </c>
      <c r="E6" s="15" t="e">
        <f>VLOOKUP(B6,#REF!,4)</f>
        <v>#REF!</v>
      </c>
      <c r="F6" s="24" t="e">
        <f>VLOOKUP(B6,#REF!,5)</f>
        <v>#REF!</v>
      </c>
      <c r="H6" s="32" t="e">
        <f>VLOOKUP(B6,#REF!,4)</f>
        <v>#REF!</v>
      </c>
      <c r="I6" s="23" t="e">
        <f>VLOOKUP(B6,#REF!,5)</f>
        <v>#REF!</v>
      </c>
      <c r="J6" s="15" t="e">
        <f>VLOOKUP(B6,#REF!,6)</f>
        <v>#REF!</v>
      </c>
      <c r="K6" s="24" t="e">
        <f>VLOOKUP(B6,#REF!,7)</f>
        <v>#REF!</v>
      </c>
      <c r="M6" s="32" t="e">
        <f t="shared" si="0"/>
        <v>#REF!</v>
      </c>
      <c r="N6" s="37" t="e">
        <f t="shared" si="1"/>
        <v>#REF!</v>
      </c>
      <c r="O6" s="23" t="e">
        <f t="shared" si="2"/>
        <v>#REF!</v>
      </c>
      <c r="P6" s="38" t="e">
        <f t="shared" si="3"/>
        <v>#REF!</v>
      </c>
    </row>
    <row r="7" spans="2:16" ht="15" x14ac:dyDescent="0.25">
      <c r="B7" s="19" t="s">
        <v>6</v>
      </c>
      <c r="C7" s="23" t="e">
        <f>VLOOKUP(B7,#REF!,2)</f>
        <v>#REF!</v>
      </c>
      <c r="D7" s="23" t="e">
        <f>VLOOKUP(B7,#REF!,3)</f>
        <v>#REF!</v>
      </c>
      <c r="E7" s="15" t="e">
        <f>VLOOKUP(B7,#REF!,4)</f>
        <v>#REF!</v>
      </c>
      <c r="F7" s="24" t="e">
        <f>VLOOKUP(B7,#REF!,5)</f>
        <v>#REF!</v>
      </c>
      <c r="H7" s="32" t="e">
        <f>VLOOKUP(B7,#REF!,4)</f>
        <v>#REF!</v>
      </c>
      <c r="I7" s="23" t="e">
        <f>VLOOKUP(B7,#REF!,5)</f>
        <v>#REF!</v>
      </c>
      <c r="J7" s="15" t="e">
        <f>VLOOKUP(B7,#REF!,6)</f>
        <v>#REF!</v>
      </c>
      <c r="K7" s="24" t="e">
        <f>VLOOKUP(B7,#REF!,7)</f>
        <v>#REF!</v>
      </c>
      <c r="M7" s="32" t="e">
        <f t="shared" si="0"/>
        <v>#REF!</v>
      </c>
      <c r="N7" s="37" t="e">
        <f t="shared" si="1"/>
        <v>#REF!</v>
      </c>
      <c r="O7" s="23" t="e">
        <f t="shared" si="2"/>
        <v>#REF!</v>
      </c>
      <c r="P7" s="38" t="e">
        <f t="shared" si="3"/>
        <v>#REF!</v>
      </c>
    </row>
    <row r="8" spans="2:16" ht="15" x14ac:dyDescent="0.25">
      <c r="B8" s="19" t="s">
        <v>7</v>
      </c>
      <c r="C8" s="23" t="e">
        <f>VLOOKUP(B8,#REF!,2)</f>
        <v>#REF!</v>
      </c>
      <c r="D8" s="23" t="e">
        <f>VLOOKUP(B8,#REF!,3)</f>
        <v>#REF!</v>
      </c>
      <c r="E8" s="15" t="e">
        <f>VLOOKUP(B8,#REF!,4)</f>
        <v>#REF!</v>
      </c>
      <c r="F8" s="24" t="e">
        <f>VLOOKUP(B8,#REF!,5)</f>
        <v>#REF!</v>
      </c>
      <c r="H8" s="32" t="e">
        <f>VLOOKUP(B8,#REF!,4)</f>
        <v>#REF!</v>
      </c>
      <c r="I8" s="23" t="e">
        <f>VLOOKUP(B8,#REF!,5)</f>
        <v>#REF!</v>
      </c>
      <c r="J8" s="15" t="e">
        <f>VLOOKUP(B8,#REF!,6)</f>
        <v>#REF!</v>
      </c>
      <c r="K8" s="24" t="e">
        <f>VLOOKUP(B8,#REF!,7)</f>
        <v>#REF!</v>
      </c>
      <c r="M8" s="32" t="e">
        <f t="shared" si="0"/>
        <v>#REF!</v>
      </c>
      <c r="N8" s="37" t="e">
        <f t="shared" si="1"/>
        <v>#REF!</v>
      </c>
      <c r="O8" s="23" t="e">
        <f t="shared" si="2"/>
        <v>#REF!</v>
      </c>
      <c r="P8" s="38" t="e">
        <f t="shared" si="3"/>
        <v>#REF!</v>
      </c>
    </row>
    <row r="9" spans="2:16" ht="15" x14ac:dyDescent="0.25">
      <c r="B9" s="19" t="s">
        <v>41</v>
      </c>
      <c r="C9" s="23" t="e">
        <f>VLOOKUP(B9,#REF!,2)</f>
        <v>#REF!</v>
      </c>
      <c r="D9" s="23" t="e">
        <f>VLOOKUP(B9,#REF!,3)</f>
        <v>#REF!</v>
      </c>
      <c r="E9" s="15" t="e">
        <f>VLOOKUP(B9,#REF!,4)</f>
        <v>#REF!</v>
      </c>
      <c r="F9" s="24" t="e">
        <f>VLOOKUP(B9,#REF!,5)</f>
        <v>#REF!</v>
      </c>
      <c r="H9" s="32" t="e">
        <f>VLOOKUP(B9,#REF!,4)</f>
        <v>#REF!</v>
      </c>
      <c r="I9" s="23" t="e">
        <f>VLOOKUP(B9,#REF!,5)</f>
        <v>#REF!</v>
      </c>
      <c r="J9" s="15" t="e">
        <f>VLOOKUP(B9,#REF!,6)</f>
        <v>#REF!</v>
      </c>
      <c r="K9" s="24" t="e">
        <f>VLOOKUP(B9,#REF!,7)</f>
        <v>#REF!</v>
      </c>
      <c r="M9" s="32" t="e">
        <f t="shared" si="0"/>
        <v>#REF!</v>
      </c>
      <c r="N9" s="37" t="e">
        <f t="shared" si="1"/>
        <v>#REF!</v>
      </c>
      <c r="O9" s="23" t="e">
        <f t="shared" si="2"/>
        <v>#REF!</v>
      </c>
      <c r="P9" s="38" t="e">
        <f t="shared" si="3"/>
        <v>#REF!</v>
      </c>
    </row>
    <row r="10" spans="2:16" ht="15" x14ac:dyDescent="0.25">
      <c r="B10" s="19" t="s">
        <v>8</v>
      </c>
      <c r="C10" s="23" t="e">
        <f>VLOOKUP(B10,#REF!,2)</f>
        <v>#REF!</v>
      </c>
      <c r="D10" s="23" t="e">
        <f>VLOOKUP(B10,#REF!,3)</f>
        <v>#REF!</v>
      </c>
      <c r="E10" s="15" t="e">
        <f>VLOOKUP(B10,#REF!,4)</f>
        <v>#REF!</v>
      </c>
      <c r="F10" s="24" t="e">
        <f>VLOOKUP(B10,#REF!,5)</f>
        <v>#REF!</v>
      </c>
      <c r="H10" s="32" t="e">
        <f>VLOOKUP(B10,#REF!,4)</f>
        <v>#REF!</v>
      </c>
      <c r="I10" s="23" t="e">
        <f>VLOOKUP(B10,#REF!,5)</f>
        <v>#REF!</v>
      </c>
      <c r="J10" s="15" t="e">
        <f>VLOOKUP(B10,#REF!,6)</f>
        <v>#REF!</v>
      </c>
      <c r="K10" s="24" t="e">
        <f>VLOOKUP(B10,#REF!,7)</f>
        <v>#REF!</v>
      </c>
      <c r="M10" s="32" t="e">
        <f t="shared" si="0"/>
        <v>#REF!</v>
      </c>
      <c r="N10" s="37" t="e">
        <f t="shared" si="1"/>
        <v>#REF!</v>
      </c>
      <c r="O10" s="23" t="e">
        <f t="shared" si="2"/>
        <v>#REF!</v>
      </c>
      <c r="P10" s="38" t="e">
        <f t="shared" si="3"/>
        <v>#REF!</v>
      </c>
    </row>
    <row r="11" spans="2:16" ht="15" x14ac:dyDescent="0.25">
      <c r="B11" s="19" t="s">
        <v>20</v>
      </c>
      <c r="C11" s="23" t="e">
        <f>VLOOKUP(B11,#REF!,2)</f>
        <v>#REF!</v>
      </c>
      <c r="D11" s="23" t="e">
        <f>VLOOKUP(B11,#REF!,3)</f>
        <v>#REF!</v>
      </c>
      <c r="E11" s="15" t="e">
        <f>VLOOKUP(B11,#REF!,4)</f>
        <v>#REF!</v>
      </c>
      <c r="F11" s="24" t="e">
        <f>VLOOKUP(B11,#REF!,5)</f>
        <v>#REF!</v>
      </c>
      <c r="H11" s="32" t="e">
        <f>VLOOKUP(B11,#REF!,4)</f>
        <v>#REF!</v>
      </c>
      <c r="I11" s="23" t="e">
        <f>VLOOKUP(B11,#REF!,5)</f>
        <v>#REF!</v>
      </c>
      <c r="J11" s="15" t="e">
        <f>VLOOKUP(B11,#REF!,6)</f>
        <v>#REF!</v>
      </c>
      <c r="K11" s="24" t="e">
        <f>VLOOKUP(B11,#REF!,7)</f>
        <v>#REF!</v>
      </c>
      <c r="M11" s="32" t="e">
        <f t="shared" si="0"/>
        <v>#REF!</v>
      </c>
      <c r="N11" s="37" t="e">
        <f t="shared" si="1"/>
        <v>#REF!</v>
      </c>
      <c r="O11" s="23" t="e">
        <f t="shared" si="2"/>
        <v>#REF!</v>
      </c>
      <c r="P11" s="38" t="e">
        <f t="shared" si="3"/>
        <v>#REF!</v>
      </c>
    </row>
    <row r="12" spans="2:16" ht="15" x14ac:dyDescent="0.25">
      <c r="B12" s="19" t="s">
        <v>42</v>
      </c>
      <c r="C12" s="23" t="e">
        <f>VLOOKUP(B12,#REF!,2)</f>
        <v>#REF!</v>
      </c>
      <c r="D12" s="23" t="e">
        <f>VLOOKUP(B12,#REF!,3)</f>
        <v>#REF!</v>
      </c>
      <c r="E12" s="15" t="e">
        <f>VLOOKUP(B12,#REF!,4)</f>
        <v>#REF!</v>
      </c>
      <c r="F12" s="24" t="e">
        <f>VLOOKUP(B12,#REF!,5)</f>
        <v>#REF!</v>
      </c>
      <c r="H12" s="32" t="e">
        <f>VLOOKUP(B12,#REF!,4)</f>
        <v>#REF!</v>
      </c>
      <c r="I12" s="23" t="e">
        <f>VLOOKUP(B12,#REF!,5)</f>
        <v>#REF!</v>
      </c>
      <c r="J12" s="15" t="e">
        <f>VLOOKUP(B12,#REF!,6)</f>
        <v>#REF!</v>
      </c>
      <c r="K12" s="24" t="e">
        <f>VLOOKUP(B12,#REF!,7)</f>
        <v>#REF!</v>
      </c>
      <c r="M12" s="32" t="e">
        <f t="shared" si="0"/>
        <v>#REF!</v>
      </c>
      <c r="N12" s="37" t="e">
        <f t="shared" si="1"/>
        <v>#REF!</v>
      </c>
      <c r="O12" s="23" t="e">
        <f t="shared" si="2"/>
        <v>#REF!</v>
      </c>
      <c r="P12" s="38" t="e">
        <f t="shared" si="3"/>
        <v>#REF!</v>
      </c>
    </row>
    <row r="13" spans="2:16" ht="15" x14ac:dyDescent="0.25">
      <c r="B13" s="19" t="s">
        <v>9</v>
      </c>
      <c r="C13" s="23" t="e">
        <f>VLOOKUP(B13,#REF!,2)</f>
        <v>#REF!</v>
      </c>
      <c r="D13" s="23" t="e">
        <f>VLOOKUP(B13,#REF!,3)</f>
        <v>#REF!</v>
      </c>
      <c r="E13" s="15" t="e">
        <f>VLOOKUP(B13,#REF!,4)</f>
        <v>#REF!</v>
      </c>
      <c r="F13" s="24" t="e">
        <f>VLOOKUP(B13,#REF!,5)</f>
        <v>#REF!</v>
      </c>
      <c r="H13" s="32" t="e">
        <f>VLOOKUP(B13,#REF!,4)</f>
        <v>#REF!</v>
      </c>
      <c r="I13" s="23" t="e">
        <f>VLOOKUP(B13,#REF!,5)</f>
        <v>#REF!</v>
      </c>
      <c r="J13" s="15" t="e">
        <f>VLOOKUP(B13,#REF!,6)</f>
        <v>#REF!</v>
      </c>
      <c r="K13" s="24" t="e">
        <f>VLOOKUP(B13,#REF!,7)</f>
        <v>#REF!</v>
      </c>
      <c r="M13" s="32" t="e">
        <f t="shared" si="0"/>
        <v>#REF!</v>
      </c>
      <c r="N13" s="37" t="e">
        <f t="shared" si="1"/>
        <v>#REF!</v>
      </c>
      <c r="O13" s="23" t="e">
        <f t="shared" si="2"/>
        <v>#REF!</v>
      </c>
      <c r="P13" s="38" t="e">
        <f t="shared" si="3"/>
        <v>#REF!</v>
      </c>
    </row>
    <row r="14" spans="2:16" ht="15" x14ac:dyDescent="0.25">
      <c r="B14" s="19" t="s">
        <v>21</v>
      </c>
      <c r="C14" s="23" t="e">
        <f>VLOOKUP(B14,#REF!,2)</f>
        <v>#REF!</v>
      </c>
      <c r="D14" s="23" t="e">
        <f>VLOOKUP(B14,#REF!,3)</f>
        <v>#REF!</v>
      </c>
      <c r="E14" s="15" t="e">
        <f>VLOOKUP(B14,#REF!,4)</f>
        <v>#REF!</v>
      </c>
      <c r="F14" s="24" t="e">
        <f>VLOOKUP(B14,#REF!,5)</f>
        <v>#REF!</v>
      </c>
      <c r="H14" s="32" t="e">
        <f>VLOOKUP(B14,#REF!,4)</f>
        <v>#REF!</v>
      </c>
      <c r="I14" s="23" t="e">
        <f>VLOOKUP(B14,#REF!,5)</f>
        <v>#REF!</v>
      </c>
      <c r="J14" s="15" t="e">
        <f>VLOOKUP(B14,#REF!,6)</f>
        <v>#REF!</v>
      </c>
      <c r="K14" s="24" t="e">
        <f>VLOOKUP(B14,#REF!,7)</f>
        <v>#REF!</v>
      </c>
      <c r="M14" s="32" t="e">
        <f t="shared" si="0"/>
        <v>#REF!</v>
      </c>
      <c r="N14" s="37" t="e">
        <f t="shared" si="1"/>
        <v>#REF!</v>
      </c>
      <c r="O14" s="23" t="e">
        <f t="shared" si="2"/>
        <v>#REF!</v>
      </c>
      <c r="P14" s="38" t="e">
        <f t="shared" si="3"/>
        <v>#REF!</v>
      </c>
    </row>
    <row r="15" spans="2:16" ht="15" x14ac:dyDescent="0.25">
      <c r="B15" s="19" t="s">
        <v>22</v>
      </c>
      <c r="C15" s="23" t="e">
        <f>VLOOKUP(B15,#REF!,2)</f>
        <v>#REF!</v>
      </c>
      <c r="D15" s="23" t="e">
        <f>VLOOKUP(B15,#REF!,3)</f>
        <v>#REF!</v>
      </c>
      <c r="E15" s="15" t="e">
        <f>VLOOKUP(B15,#REF!,4)</f>
        <v>#REF!</v>
      </c>
      <c r="F15" s="24" t="e">
        <f>VLOOKUP(B15,#REF!,5)</f>
        <v>#REF!</v>
      </c>
      <c r="H15" s="32" t="e">
        <f>VLOOKUP(B15,#REF!,4)</f>
        <v>#REF!</v>
      </c>
      <c r="I15" s="23" t="e">
        <f>VLOOKUP(B15,#REF!,5)</f>
        <v>#REF!</v>
      </c>
      <c r="J15" s="15" t="e">
        <f>VLOOKUP(B15,#REF!,6)</f>
        <v>#REF!</v>
      </c>
      <c r="K15" s="24" t="e">
        <f>VLOOKUP(B15,#REF!,7)</f>
        <v>#REF!</v>
      </c>
      <c r="M15" s="32" t="e">
        <f t="shared" si="0"/>
        <v>#REF!</v>
      </c>
      <c r="N15" s="37" t="e">
        <f t="shared" si="1"/>
        <v>#REF!</v>
      </c>
      <c r="O15" s="23" t="e">
        <f t="shared" si="2"/>
        <v>#REF!</v>
      </c>
      <c r="P15" s="38" t="e">
        <f t="shared" si="3"/>
        <v>#REF!</v>
      </c>
    </row>
    <row r="16" spans="2:16" ht="15" x14ac:dyDescent="0.25">
      <c r="B16" s="19" t="s">
        <v>10</v>
      </c>
      <c r="C16" s="23" t="e">
        <f>VLOOKUP(B16,#REF!,2)</f>
        <v>#REF!</v>
      </c>
      <c r="D16" s="23" t="e">
        <f>VLOOKUP(B16,#REF!,3)</f>
        <v>#REF!</v>
      </c>
      <c r="E16" s="15" t="e">
        <f>VLOOKUP(B16,#REF!,4)</f>
        <v>#REF!</v>
      </c>
      <c r="F16" s="24" t="e">
        <f>VLOOKUP(B16,#REF!,5)</f>
        <v>#REF!</v>
      </c>
      <c r="H16" s="32" t="e">
        <f>VLOOKUP(B16,#REF!,4)</f>
        <v>#REF!</v>
      </c>
      <c r="I16" s="23" t="e">
        <f>VLOOKUP(B16,#REF!,5)</f>
        <v>#REF!</v>
      </c>
      <c r="J16" s="15" t="e">
        <f>VLOOKUP(B16,#REF!,6)</f>
        <v>#REF!</v>
      </c>
      <c r="K16" s="24" t="e">
        <f>VLOOKUP(B16,#REF!,7)</f>
        <v>#REF!</v>
      </c>
      <c r="M16" s="32" t="e">
        <f t="shared" si="0"/>
        <v>#REF!</v>
      </c>
      <c r="N16" s="37" t="e">
        <f t="shared" si="1"/>
        <v>#REF!</v>
      </c>
      <c r="O16" s="23" t="e">
        <f t="shared" si="2"/>
        <v>#REF!</v>
      </c>
      <c r="P16" s="38" t="e">
        <f t="shared" si="3"/>
        <v>#REF!</v>
      </c>
    </row>
    <row r="17" spans="2:16" ht="15" x14ac:dyDescent="0.25">
      <c r="B17" s="19" t="s">
        <v>43</v>
      </c>
      <c r="C17" s="23" t="e">
        <f>VLOOKUP(B17,#REF!,2)</f>
        <v>#REF!</v>
      </c>
      <c r="D17" s="23" t="e">
        <f>VLOOKUP(B17,#REF!,3)</f>
        <v>#REF!</v>
      </c>
      <c r="E17" s="15" t="e">
        <f>VLOOKUP(B17,#REF!,4)</f>
        <v>#REF!</v>
      </c>
      <c r="F17" s="24" t="e">
        <f>VLOOKUP(B17,#REF!,5)</f>
        <v>#REF!</v>
      </c>
      <c r="H17" s="32" t="e">
        <f>VLOOKUP(B17,#REF!,4)</f>
        <v>#REF!</v>
      </c>
      <c r="I17" s="23" t="e">
        <f>VLOOKUP(B17,#REF!,5)</f>
        <v>#REF!</v>
      </c>
      <c r="J17" s="15" t="e">
        <f>VLOOKUP(B17,#REF!,6)</f>
        <v>#REF!</v>
      </c>
      <c r="K17" s="24" t="e">
        <f>VLOOKUP(B17,#REF!,7)</f>
        <v>#REF!</v>
      </c>
      <c r="M17" s="32" t="e">
        <f t="shared" si="0"/>
        <v>#REF!</v>
      </c>
      <c r="N17" s="37" t="e">
        <f t="shared" si="1"/>
        <v>#REF!</v>
      </c>
      <c r="O17" s="23" t="e">
        <f t="shared" si="2"/>
        <v>#REF!</v>
      </c>
      <c r="P17" s="38" t="e">
        <f t="shared" si="3"/>
        <v>#REF!</v>
      </c>
    </row>
    <row r="18" spans="2:16" ht="15" x14ac:dyDescent="0.25">
      <c r="B18" s="19" t="s">
        <v>23</v>
      </c>
      <c r="C18" s="23" t="e">
        <f>VLOOKUP(B18,#REF!,2)</f>
        <v>#REF!</v>
      </c>
      <c r="D18" s="23" t="e">
        <f>VLOOKUP(B18,#REF!,3)</f>
        <v>#REF!</v>
      </c>
      <c r="E18" s="15" t="e">
        <f>VLOOKUP(B18,#REF!,4)</f>
        <v>#REF!</v>
      </c>
      <c r="F18" s="24" t="e">
        <f>VLOOKUP(B18,#REF!,5)</f>
        <v>#REF!</v>
      </c>
      <c r="H18" s="32" t="e">
        <f>VLOOKUP(B18,#REF!,4)</f>
        <v>#REF!</v>
      </c>
      <c r="I18" s="23" t="e">
        <f>VLOOKUP(B18,#REF!,5)</f>
        <v>#REF!</v>
      </c>
      <c r="J18" s="15" t="e">
        <f>VLOOKUP(B18,#REF!,6)</f>
        <v>#REF!</v>
      </c>
      <c r="K18" s="24" t="e">
        <f>VLOOKUP(B18,#REF!,7)</f>
        <v>#REF!</v>
      </c>
      <c r="M18" s="32" t="e">
        <f t="shared" si="0"/>
        <v>#REF!</v>
      </c>
      <c r="N18" s="37" t="e">
        <f t="shared" si="1"/>
        <v>#REF!</v>
      </c>
      <c r="O18" s="23" t="e">
        <f t="shared" si="2"/>
        <v>#REF!</v>
      </c>
      <c r="P18" s="38" t="e">
        <f t="shared" si="3"/>
        <v>#REF!</v>
      </c>
    </row>
    <row r="19" spans="2:16" ht="15" x14ac:dyDescent="0.25">
      <c r="B19" s="19" t="s">
        <v>24</v>
      </c>
      <c r="C19" s="23" t="e">
        <f>VLOOKUP(B19,#REF!,2)</f>
        <v>#REF!</v>
      </c>
      <c r="D19" s="23" t="e">
        <f>VLOOKUP(B19,#REF!,3)</f>
        <v>#REF!</v>
      </c>
      <c r="E19" s="15" t="e">
        <f>VLOOKUP(B19,#REF!,4)</f>
        <v>#REF!</v>
      </c>
      <c r="F19" s="24" t="e">
        <f>VLOOKUP(B19,#REF!,5)</f>
        <v>#REF!</v>
      </c>
      <c r="H19" s="32" t="e">
        <f>VLOOKUP(B19,#REF!,4)</f>
        <v>#REF!</v>
      </c>
      <c r="I19" s="23" t="e">
        <f>VLOOKUP(B19,#REF!,5)</f>
        <v>#REF!</v>
      </c>
      <c r="J19" s="15" t="e">
        <f>VLOOKUP(B19,#REF!,6)</f>
        <v>#REF!</v>
      </c>
      <c r="K19" s="24" t="e">
        <f>VLOOKUP(B19,#REF!,7)</f>
        <v>#REF!</v>
      </c>
      <c r="M19" s="32" t="e">
        <f t="shared" si="0"/>
        <v>#REF!</v>
      </c>
      <c r="N19" s="37" t="e">
        <f t="shared" si="1"/>
        <v>#REF!</v>
      </c>
      <c r="O19" s="23" t="e">
        <f t="shared" si="2"/>
        <v>#REF!</v>
      </c>
      <c r="P19" s="38" t="e">
        <f t="shared" si="3"/>
        <v>#REF!</v>
      </c>
    </row>
    <row r="20" spans="2:16" ht="15" x14ac:dyDescent="0.25">
      <c r="B20" s="19" t="s">
        <v>11</v>
      </c>
      <c r="C20" s="23" t="e">
        <f>VLOOKUP(B20,#REF!,2)</f>
        <v>#REF!</v>
      </c>
      <c r="D20" s="23" t="e">
        <f>VLOOKUP(B20,#REF!,3)</f>
        <v>#REF!</v>
      </c>
      <c r="E20" s="15" t="e">
        <f>VLOOKUP(B20,#REF!,4)</f>
        <v>#REF!</v>
      </c>
      <c r="F20" s="24" t="e">
        <f>VLOOKUP(B20,#REF!,5)</f>
        <v>#REF!</v>
      </c>
      <c r="H20" s="32" t="e">
        <f>VLOOKUP(B20,#REF!,4)</f>
        <v>#REF!</v>
      </c>
      <c r="I20" s="23" t="e">
        <f>VLOOKUP(B20,#REF!,5)</f>
        <v>#REF!</v>
      </c>
      <c r="J20" s="15" t="e">
        <f>VLOOKUP(B20,#REF!,6)</f>
        <v>#REF!</v>
      </c>
      <c r="K20" s="24" t="e">
        <f>VLOOKUP(B20,#REF!,7)</f>
        <v>#REF!</v>
      </c>
      <c r="M20" s="32" t="e">
        <f t="shared" si="0"/>
        <v>#REF!</v>
      </c>
      <c r="N20" s="37" t="e">
        <f t="shared" si="1"/>
        <v>#REF!</v>
      </c>
      <c r="O20" s="23" t="e">
        <f t="shared" si="2"/>
        <v>#REF!</v>
      </c>
      <c r="P20" s="38" t="e">
        <f t="shared" si="3"/>
        <v>#REF!</v>
      </c>
    </row>
    <row r="21" spans="2:16" ht="15" x14ac:dyDescent="0.25">
      <c r="B21" s="19" t="s">
        <v>54</v>
      </c>
      <c r="C21" s="23" t="e">
        <f>VLOOKUP(B21,#REF!,2)</f>
        <v>#REF!</v>
      </c>
      <c r="D21" s="23" t="e">
        <f>VLOOKUP(B21,#REF!,3)</f>
        <v>#REF!</v>
      </c>
      <c r="E21" s="15" t="e">
        <f>VLOOKUP(B21,#REF!,4)</f>
        <v>#REF!</v>
      </c>
      <c r="F21" s="24" t="e">
        <f>VLOOKUP(B21,#REF!,5)</f>
        <v>#REF!</v>
      </c>
      <c r="H21" s="32" t="e">
        <f>VLOOKUP(B21,#REF!,4)</f>
        <v>#REF!</v>
      </c>
      <c r="I21" s="23" t="e">
        <f>VLOOKUP(B21,#REF!,5)</f>
        <v>#REF!</v>
      </c>
      <c r="J21" s="15" t="e">
        <f>VLOOKUP(B21,#REF!,6)</f>
        <v>#REF!</v>
      </c>
      <c r="K21" s="24" t="e">
        <f>VLOOKUP(B21,#REF!,7)</f>
        <v>#REF!</v>
      </c>
      <c r="M21" s="32" t="e">
        <f t="shared" si="0"/>
        <v>#REF!</v>
      </c>
      <c r="N21" s="37" t="e">
        <f t="shared" si="1"/>
        <v>#REF!</v>
      </c>
      <c r="O21" s="23" t="e">
        <f t="shared" si="2"/>
        <v>#REF!</v>
      </c>
      <c r="P21" s="38" t="e">
        <f t="shared" si="3"/>
        <v>#REF!</v>
      </c>
    </row>
    <row r="22" spans="2:16" ht="15" x14ac:dyDescent="0.25">
      <c r="B22" s="19" t="s">
        <v>25</v>
      </c>
      <c r="C22" s="23" t="e">
        <f>VLOOKUP(B22,#REF!,2)</f>
        <v>#REF!</v>
      </c>
      <c r="D22" s="23" t="e">
        <f>VLOOKUP(B22,#REF!,3)</f>
        <v>#REF!</v>
      </c>
      <c r="E22" s="15" t="e">
        <f>VLOOKUP(B22,#REF!,4)</f>
        <v>#REF!</v>
      </c>
      <c r="F22" s="24" t="e">
        <f>VLOOKUP(B22,#REF!,5)</f>
        <v>#REF!</v>
      </c>
      <c r="H22" s="32" t="e">
        <f>VLOOKUP(B22,#REF!,4)</f>
        <v>#REF!</v>
      </c>
      <c r="I22" s="23" t="e">
        <f>VLOOKUP(B22,#REF!,5)</f>
        <v>#REF!</v>
      </c>
      <c r="J22" s="15" t="e">
        <f>VLOOKUP(B22,#REF!,6)</f>
        <v>#REF!</v>
      </c>
      <c r="K22" s="24" t="e">
        <f>VLOOKUP(B22,#REF!,7)</f>
        <v>#REF!</v>
      </c>
      <c r="M22" s="32" t="e">
        <f t="shared" si="0"/>
        <v>#REF!</v>
      </c>
      <c r="N22" s="37" t="e">
        <f t="shared" si="1"/>
        <v>#REF!</v>
      </c>
      <c r="O22" s="23" t="e">
        <f t="shared" si="2"/>
        <v>#REF!</v>
      </c>
      <c r="P22" s="38" t="e">
        <f t="shared" si="3"/>
        <v>#REF!</v>
      </c>
    </row>
    <row r="23" spans="2:16" ht="15" x14ac:dyDescent="0.25">
      <c r="B23" s="19" t="s">
        <v>26</v>
      </c>
      <c r="C23" s="23" t="e">
        <f>VLOOKUP(B23,#REF!,2)</f>
        <v>#REF!</v>
      </c>
      <c r="D23" s="23" t="e">
        <f>VLOOKUP(B23,#REF!,3)</f>
        <v>#REF!</v>
      </c>
      <c r="E23" s="15" t="e">
        <f>VLOOKUP(B23,#REF!,4)</f>
        <v>#REF!</v>
      </c>
      <c r="F23" s="24" t="e">
        <f>VLOOKUP(B23,#REF!,5)</f>
        <v>#REF!</v>
      </c>
      <c r="H23" s="32" t="e">
        <f>VLOOKUP(B23,#REF!,4)</f>
        <v>#REF!</v>
      </c>
      <c r="I23" s="23" t="e">
        <f>VLOOKUP(B23,#REF!,5)</f>
        <v>#REF!</v>
      </c>
      <c r="J23" s="15" t="e">
        <f>VLOOKUP(B23,#REF!,6)</f>
        <v>#REF!</v>
      </c>
      <c r="K23" s="24" t="e">
        <f>VLOOKUP(B23,#REF!,7)</f>
        <v>#REF!</v>
      </c>
      <c r="M23" s="32" t="e">
        <f t="shared" si="0"/>
        <v>#REF!</v>
      </c>
      <c r="N23" s="37" t="e">
        <f t="shared" si="1"/>
        <v>#REF!</v>
      </c>
      <c r="O23" s="23" t="e">
        <f t="shared" si="2"/>
        <v>#REF!</v>
      </c>
      <c r="P23" s="38" t="e">
        <f t="shared" si="3"/>
        <v>#REF!</v>
      </c>
    </row>
    <row r="24" spans="2:16" ht="15" x14ac:dyDescent="0.25">
      <c r="B24" s="19" t="s">
        <v>12</v>
      </c>
      <c r="C24" s="23" t="e">
        <f>VLOOKUP(B24,#REF!,2)</f>
        <v>#REF!</v>
      </c>
      <c r="D24" s="23" t="e">
        <f>VLOOKUP(B24,#REF!,3)</f>
        <v>#REF!</v>
      </c>
      <c r="E24" s="15" t="e">
        <f>VLOOKUP(B24,#REF!,4)</f>
        <v>#REF!</v>
      </c>
      <c r="F24" s="24" t="e">
        <f>VLOOKUP(B24,#REF!,5)</f>
        <v>#REF!</v>
      </c>
      <c r="H24" s="32" t="e">
        <f>VLOOKUP(B24,#REF!,4)</f>
        <v>#REF!</v>
      </c>
      <c r="I24" s="23" t="e">
        <f>VLOOKUP(B24,#REF!,5)</f>
        <v>#REF!</v>
      </c>
      <c r="J24" s="15" t="e">
        <f>VLOOKUP(B24,#REF!,6)</f>
        <v>#REF!</v>
      </c>
      <c r="K24" s="24" t="e">
        <f>VLOOKUP(B24,#REF!,7)</f>
        <v>#REF!</v>
      </c>
      <c r="M24" s="32" t="e">
        <f t="shared" si="0"/>
        <v>#REF!</v>
      </c>
      <c r="N24" s="37" t="e">
        <f t="shared" si="1"/>
        <v>#REF!</v>
      </c>
      <c r="O24" s="23" t="e">
        <f t="shared" si="2"/>
        <v>#REF!</v>
      </c>
      <c r="P24" s="38" t="e">
        <f t="shared" si="3"/>
        <v>#REF!</v>
      </c>
    </row>
    <row r="25" spans="2:16" ht="15" x14ac:dyDescent="0.25">
      <c r="B25" s="19" t="s">
        <v>27</v>
      </c>
      <c r="C25" s="23" t="e">
        <f>VLOOKUP(B25,#REF!,2)</f>
        <v>#REF!</v>
      </c>
      <c r="D25" s="23" t="e">
        <f>VLOOKUP(B25,#REF!,3)</f>
        <v>#REF!</v>
      </c>
      <c r="E25" s="15" t="e">
        <f>VLOOKUP(B25,#REF!,4)</f>
        <v>#REF!</v>
      </c>
      <c r="F25" s="24" t="e">
        <f>VLOOKUP(B25,#REF!,5)</f>
        <v>#REF!</v>
      </c>
      <c r="H25" s="32" t="e">
        <f>VLOOKUP(B25,#REF!,4)</f>
        <v>#REF!</v>
      </c>
      <c r="I25" s="23" t="e">
        <f>VLOOKUP(B25,#REF!,5)</f>
        <v>#REF!</v>
      </c>
      <c r="J25" s="15" t="e">
        <f>VLOOKUP(B25,#REF!,6)</f>
        <v>#REF!</v>
      </c>
      <c r="K25" s="24" t="e">
        <f>VLOOKUP(B25,#REF!,7)</f>
        <v>#REF!</v>
      </c>
      <c r="M25" s="32" t="e">
        <f t="shared" si="0"/>
        <v>#REF!</v>
      </c>
      <c r="N25" s="37" t="e">
        <f t="shared" si="1"/>
        <v>#REF!</v>
      </c>
      <c r="O25" s="23" t="e">
        <f t="shared" si="2"/>
        <v>#REF!</v>
      </c>
      <c r="P25" s="38" t="e">
        <f t="shared" si="3"/>
        <v>#REF!</v>
      </c>
    </row>
    <row r="26" spans="2:16" ht="15" x14ac:dyDescent="0.25">
      <c r="B26" s="19" t="s">
        <v>28</v>
      </c>
      <c r="C26" s="23" t="e">
        <f>VLOOKUP(B26,#REF!,2)</f>
        <v>#REF!</v>
      </c>
      <c r="D26" s="23" t="e">
        <f>VLOOKUP(B26,#REF!,3)</f>
        <v>#REF!</v>
      </c>
      <c r="E26" s="15" t="e">
        <f>VLOOKUP(B26,#REF!,4)</f>
        <v>#REF!</v>
      </c>
      <c r="F26" s="24" t="e">
        <f>VLOOKUP(B26,#REF!,5)</f>
        <v>#REF!</v>
      </c>
      <c r="H26" s="32" t="e">
        <f>VLOOKUP(B26,#REF!,4)</f>
        <v>#REF!</v>
      </c>
      <c r="I26" s="23" t="e">
        <f>VLOOKUP(B26,#REF!,5)</f>
        <v>#REF!</v>
      </c>
      <c r="J26" s="15" t="e">
        <f>VLOOKUP(B26,#REF!,6)</f>
        <v>#REF!</v>
      </c>
      <c r="K26" s="24" t="e">
        <f>VLOOKUP(B26,#REF!,7)</f>
        <v>#REF!</v>
      </c>
      <c r="M26" s="32" t="e">
        <f t="shared" si="0"/>
        <v>#REF!</v>
      </c>
      <c r="N26" s="37" t="e">
        <f t="shared" si="1"/>
        <v>#REF!</v>
      </c>
      <c r="O26" s="23" t="e">
        <f t="shared" si="2"/>
        <v>#REF!</v>
      </c>
      <c r="P26" s="38" t="e">
        <f t="shared" si="3"/>
        <v>#REF!</v>
      </c>
    </row>
    <row r="27" spans="2:16" ht="15" x14ac:dyDescent="0.25">
      <c r="B27" s="19" t="s">
        <v>13</v>
      </c>
      <c r="C27" s="23" t="e">
        <f>VLOOKUP(B27,#REF!,2)</f>
        <v>#REF!</v>
      </c>
      <c r="D27" s="23" t="e">
        <f>VLOOKUP(B27,#REF!,3)</f>
        <v>#REF!</v>
      </c>
      <c r="E27" s="15" t="e">
        <f>VLOOKUP(B27,#REF!,4)</f>
        <v>#REF!</v>
      </c>
      <c r="F27" s="24" t="e">
        <f>VLOOKUP(B27,#REF!,5)</f>
        <v>#REF!</v>
      </c>
      <c r="H27" s="32" t="e">
        <f>VLOOKUP(B27,#REF!,4)</f>
        <v>#REF!</v>
      </c>
      <c r="I27" s="23" t="e">
        <f>VLOOKUP(B27,#REF!,5)</f>
        <v>#REF!</v>
      </c>
      <c r="J27" s="15" t="e">
        <f>VLOOKUP(B27,#REF!,6)</f>
        <v>#REF!</v>
      </c>
      <c r="K27" s="24" t="e">
        <f>VLOOKUP(B27,#REF!,7)</f>
        <v>#REF!</v>
      </c>
      <c r="M27" s="32" t="e">
        <f t="shared" si="0"/>
        <v>#REF!</v>
      </c>
      <c r="N27" s="37" t="e">
        <f t="shared" si="1"/>
        <v>#REF!</v>
      </c>
      <c r="O27" s="23" t="e">
        <f t="shared" si="2"/>
        <v>#REF!</v>
      </c>
      <c r="P27" s="38" t="e">
        <f t="shared" si="3"/>
        <v>#REF!</v>
      </c>
    </row>
    <row r="28" spans="2:16" ht="15" x14ac:dyDescent="0.25">
      <c r="B28" s="19" t="s">
        <v>14</v>
      </c>
      <c r="C28" s="23" t="e">
        <f>VLOOKUP(B28,#REF!,2)</f>
        <v>#REF!</v>
      </c>
      <c r="D28" s="23" t="e">
        <f>VLOOKUP(B28,#REF!,3)</f>
        <v>#REF!</v>
      </c>
      <c r="E28" s="15" t="e">
        <f>VLOOKUP(B28,#REF!,4)</f>
        <v>#REF!</v>
      </c>
      <c r="F28" s="24" t="e">
        <f>VLOOKUP(B28,#REF!,5)</f>
        <v>#REF!</v>
      </c>
      <c r="H28" s="32" t="e">
        <f>VLOOKUP(B28,#REF!,4)</f>
        <v>#REF!</v>
      </c>
      <c r="I28" s="23" t="e">
        <f>VLOOKUP(B28,#REF!,5)</f>
        <v>#REF!</v>
      </c>
      <c r="J28" s="15" t="e">
        <f>VLOOKUP(B28,#REF!,6)</f>
        <v>#REF!</v>
      </c>
      <c r="K28" s="24" t="e">
        <f>VLOOKUP(B28,#REF!,7)</f>
        <v>#REF!</v>
      </c>
      <c r="M28" s="32" t="e">
        <f t="shared" si="0"/>
        <v>#REF!</v>
      </c>
      <c r="N28" s="37" t="e">
        <f t="shared" si="1"/>
        <v>#REF!</v>
      </c>
      <c r="O28" s="23" t="e">
        <f t="shared" si="2"/>
        <v>#REF!</v>
      </c>
      <c r="P28" s="38" t="e">
        <f t="shared" si="3"/>
        <v>#REF!</v>
      </c>
    </row>
    <row r="29" spans="2:16" ht="15" x14ac:dyDescent="0.25">
      <c r="B29" s="19" t="s">
        <v>44</v>
      </c>
      <c r="C29" s="23" t="e">
        <f>VLOOKUP(B29,#REF!,2)</f>
        <v>#REF!</v>
      </c>
      <c r="D29" s="23" t="e">
        <f>VLOOKUP(B29,#REF!,3)</f>
        <v>#REF!</v>
      </c>
      <c r="E29" s="15" t="e">
        <f>VLOOKUP(B29,#REF!,4)</f>
        <v>#REF!</v>
      </c>
      <c r="F29" s="24" t="e">
        <f>VLOOKUP(B29,#REF!,5)</f>
        <v>#REF!</v>
      </c>
      <c r="H29" s="32" t="e">
        <f>VLOOKUP(B29,#REF!,4)</f>
        <v>#REF!</v>
      </c>
      <c r="I29" s="23" t="e">
        <f>VLOOKUP(B29,#REF!,5)</f>
        <v>#REF!</v>
      </c>
      <c r="J29" s="15" t="e">
        <f>VLOOKUP(B29,#REF!,6)</f>
        <v>#REF!</v>
      </c>
      <c r="K29" s="24" t="e">
        <f>VLOOKUP(B29,#REF!,7)</f>
        <v>#REF!</v>
      </c>
      <c r="M29" s="32" t="e">
        <f t="shared" si="0"/>
        <v>#REF!</v>
      </c>
      <c r="N29" s="37" t="e">
        <f t="shared" si="1"/>
        <v>#REF!</v>
      </c>
      <c r="O29" s="23" t="e">
        <f t="shared" si="2"/>
        <v>#REF!</v>
      </c>
      <c r="P29" s="38" t="e">
        <f t="shared" si="3"/>
        <v>#REF!</v>
      </c>
    </row>
    <row r="30" spans="2:16" ht="15" x14ac:dyDescent="0.25">
      <c r="B30" s="19" t="s">
        <v>29</v>
      </c>
      <c r="C30" s="23" t="e">
        <f>VLOOKUP(B30,#REF!,2)</f>
        <v>#REF!</v>
      </c>
      <c r="D30" s="23" t="e">
        <f>VLOOKUP(B30,#REF!,3)</f>
        <v>#REF!</v>
      </c>
      <c r="E30" s="15" t="e">
        <f>VLOOKUP(B30,#REF!,4)</f>
        <v>#REF!</v>
      </c>
      <c r="F30" s="24" t="e">
        <f>VLOOKUP(B30,#REF!,5)</f>
        <v>#REF!</v>
      </c>
      <c r="H30" s="32" t="e">
        <f>VLOOKUP(B30,#REF!,4)</f>
        <v>#REF!</v>
      </c>
      <c r="I30" s="23" t="e">
        <f>VLOOKUP(B30,#REF!,5)</f>
        <v>#REF!</v>
      </c>
      <c r="J30" s="15" t="e">
        <f>VLOOKUP(B30,#REF!,6)</f>
        <v>#REF!</v>
      </c>
      <c r="K30" s="24" t="e">
        <f>VLOOKUP(B30,#REF!,7)</f>
        <v>#REF!</v>
      </c>
      <c r="M30" s="32" t="e">
        <f t="shared" si="0"/>
        <v>#REF!</v>
      </c>
      <c r="N30" s="37" t="e">
        <f t="shared" si="1"/>
        <v>#REF!</v>
      </c>
      <c r="O30" s="23" t="e">
        <f t="shared" si="2"/>
        <v>#REF!</v>
      </c>
      <c r="P30" s="38" t="e">
        <f t="shared" si="3"/>
        <v>#REF!</v>
      </c>
    </row>
    <row r="31" spans="2:16" ht="15" x14ac:dyDescent="0.25">
      <c r="B31" s="19" t="s">
        <v>30</v>
      </c>
      <c r="C31" s="23" t="e">
        <f>VLOOKUP(B31,#REF!,2)</f>
        <v>#REF!</v>
      </c>
      <c r="D31" s="23" t="e">
        <f>VLOOKUP(B31,#REF!,3)</f>
        <v>#REF!</v>
      </c>
      <c r="E31" s="15" t="e">
        <f>VLOOKUP(B31,#REF!,4)</f>
        <v>#REF!</v>
      </c>
      <c r="F31" s="24" t="e">
        <f>VLOOKUP(B31,#REF!,5)</f>
        <v>#REF!</v>
      </c>
      <c r="H31" s="32" t="e">
        <f>VLOOKUP(B31,#REF!,4)</f>
        <v>#REF!</v>
      </c>
      <c r="I31" s="23" t="e">
        <f>VLOOKUP(B31,#REF!,5)</f>
        <v>#REF!</v>
      </c>
      <c r="J31" s="15" t="e">
        <f>VLOOKUP(B31,#REF!,6)</f>
        <v>#REF!</v>
      </c>
      <c r="K31" s="24" t="e">
        <f>VLOOKUP(B31,#REF!,7)</f>
        <v>#REF!</v>
      </c>
      <c r="M31" s="32" t="e">
        <f t="shared" si="0"/>
        <v>#REF!</v>
      </c>
      <c r="N31" s="37" t="e">
        <f t="shared" si="1"/>
        <v>#REF!</v>
      </c>
      <c r="O31" s="23" t="e">
        <f t="shared" si="2"/>
        <v>#REF!</v>
      </c>
      <c r="P31" s="38" t="e">
        <f t="shared" si="3"/>
        <v>#REF!</v>
      </c>
    </row>
    <row r="32" spans="2:16" ht="15" x14ac:dyDescent="0.25">
      <c r="B32" s="19" t="s">
        <v>55</v>
      </c>
      <c r="C32" s="23" t="e">
        <f>VLOOKUP(B32,#REF!,2)</f>
        <v>#REF!</v>
      </c>
      <c r="D32" s="23" t="e">
        <f>VLOOKUP(B32,#REF!,3)</f>
        <v>#REF!</v>
      </c>
      <c r="E32" s="15" t="e">
        <f>VLOOKUP(B32,#REF!,4)</f>
        <v>#REF!</v>
      </c>
      <c r="F32" s="24" t="e">
        <f>VLOOKUP(B32,#REF!,5)</f>
        <v>#REF!</v>
      </c>
      <c r="H32" s="32" t="e">
        <f>VLOOKUP(B32,#REF!,4)</f>
        <v>#REF!</v>
      </c>
      <c r="I32" s="23" t="e">
        <f>VLOOKUP(B32,#REF!,5)</f>
        <v>#REF!</v>
      </c>
      <c r="J32" s="15" t="e">
        <f>VLOOKUP(B32,#REF!,6)</f>
        <v>#REF!</v>
      </c>
      <c r="K32" s="24" t="e">
        <f>VLOOKUP(B32,#REF!,7)</f>
        <v>#REF!</v>
      </c>
      <c r="M32" s="32" t="e">
        <f t="shared" si="0"/>
        <v>#REF!</v>
      </c>
      <c r="N32" s="37" t="e">
        <f t="shared" si="1"/>
        <v>#REF!</v>
      </c>
      <c r="O32" s="23" t="e">
        <f t="shared" si="2"/>
        <v>#REF!</v>
      </c>
      <c r="P32" s="38" t="e">
        <f t="shared" si="3"/>
        <v>#REF!</v>
      </c>
    </row>
    <row r="33" spans="2:16" ht="15" x14ac:dyDescent="0.25">
      <c r="B33" s="19" t="s">
        <v>31</v>
      </c>
      <c r="C33" s="23" t="e">
        <f>VLOOKUP(B33,#REF!,2)</f>
        <v>#REF!</v>
      </c>
      <c r="D33" s="23" t="e">
        <f>VLOOKUP(B33,#REF!,3)</f>
        <v>#REF!</v>
      </c>
      <c r="E33" s="15" t="e">
        <f>VLOOKUP(B33,#REF!,4)</f>
        <v>#REF!</v>
      </c>
      <c r="F33" s="24" t="e">
        <f>VLOOKUP(B33,#REF!,5)</f>
        <v>#REF!</v>
      </c>
      <c r="H33" s="32" t="e">
        <f>VLOOKUP(B33,#REF!,4)</f>
        <v>#REF!</v>
      </c>
      <c r="I33" s="23" t="e">
        <f>VLOOKUP(B33,#REF!,5)</f>
        <v>#REF!</v>
      </c>
      <c r="J33" s="15" t="e">
        <f>VLOOKUP(B33,#REF!,6)</f>
        <v>#REF!</v>
      </c>
      <c r="K33" s="24" t="e">
        <f>VLOOKUP(B33,#REF!,7)</f>
        <v>#REF!</v>
      </c>
      <c r="M33" s="32" t="e">
        <f t="shared" si="0"/>
        <v>#REF!</v>
      </c>
      <c r="N33" s="37" t="e">
        <f t="shared" si="1"/>
        <v>#REF!</v>
      </c>
      <c r="O33" s="23" t="e">
        <f t="shared" si="2"/>
        <v>#REF!</v>
      </c>
      <c r="P33" s="38" t="e">
        <f t="shared" si="3"/>
        <v>#REF!</v>
      </c>
    </row>
    <row r="34" spans="2:16" ht="15" x14ac:dyDescent="0.25">
      <c r="B34" s="19" t="s">
        <v>15</v>
      </c>
      <c r="C34" s="23" t="e">
        <f>VLOOKUP(B34,#REF!,2)</f>
        <v>#REF!</v>
      </c>
      <c r="D34" s="23" t="e">
        <f>VLOOKUP(B34,#REF!,3)</f>
        <v>#REF!</v>
      </c>
      <c r="E34" s="15" t="e">
        <f>VLOOKUP(B34,#REF!,4)</f>
        <v>#REF!</v>
      </c>
      <c r="F34" s="24" t="e">
        <f>VLOOKUP(B34,#REF!,5)</f>
        <v>#REF!</v>
      </c>
      <c r="H34" s="32" t="e">
        <f>VLOOKUP(B34,#REF!,4)</f>
        <v>#REF!</v>
      </c>
      <c r="I34" s="23" t="e">
        <f>VLOOKUP(B34,#REF!,5)</f>
        <v>#REF!</v>
      </c>
      <c r="J34" s="15" t="e">
        <f>VLOOKUP(B34,#REF!,6)</f>
        <v>#REF!</v>
      </c>
      <c r="K34" s="24" t="e">
        <f>VLOOKUP(B34,#REF!,7)</f>
        <v>#REF!</v>
      </c>
      <c r="M34" s="32" t="e">
        <f t="shared" si="0"/>
        <v>#REF!</v>
      </c>
      <c r="N34" s="37" t="e">
        <f t="shared" si="1"/>
        <v>#REF!</v>
      </c>
      <c r="O34" s="23" t="e">
        <f t="shared" si="2"/>
        <v>#REF!</v>
      </c>
      <c r="P34" s="38" t="e">
        <f t="shared" si="3"/>
        <v>#REF!</v>
      </c>
    </row>
    <row r="35" spans="2:16" ht="15" x14ac:dyDescent="0.25">
      <c r="B35" s="19" t="s">
        <v>56</v>
      </c>
      <c r="C35" s="23" t="e">
        <f>VLOOKUP(B35,#REF!,2)</f>
        <v>#REF!</v>
      </c>
      <c r="D35" s="23" t="e">
        <f>VLOOKUP(B35,#REF!,3)</f>
        <v>#REF!</v>
      </c>
      <c r="E35" s="15" t="e">
        <f>VLOOKUP(B35,#REF!,4)</f>
        <v>#REF!</v>
      </c>
      <c r="F35" s="24" t="e">
        <f>VLOOKUP(B35,#REF!,5)</f>
        <v>#REF!</v>
      </c>
      <c r="H35" s="32" t="e">
        <f>VLOOKUP(B35,#REF!,4)</f>
        <v>#REF!</v>
      </c>
      <c r="I35" s="23" t="e">
        <f>VLOOKUP(B35,#REF!,5)</f>
        <v>#REF!</v>
      </c>
      <c r="J35" s="15" t="e">
        <f>VLOOKUP(B35,#REF!,6)</f>
        <v>#REF!</v>
      </c>
      <c r="K35" s="24" t="e">
        <f>VLOOKUP(B35,#REF!,7)</f>
        <v>#REF!</v>
      </c>
      <c r="M35" s="32" t="e">
        <f t="shared" ref="M35:M60" si="4">H35-C35</f>
        <v>#REF!</v>
      </c>
      <c r="N35" s="37" t="e">
        <f t="shared" ref="N35:N60" si="5">M35/C35</f>
        <v>#REF!</v>
      </c>
      <c r="O35" s="23" t="e">
        <f t="shared" ref="O35:O60" si="6">I35-D35</f>
        <v>#REF!</v>
      </c>
      <c r="P35" s="38" t="e">
        <f t="shared" ref="P35:P61" si="7">O35/D35</f>
        <v>#REF!</v>
      </c>
    </row>
    <row r="36" spans="2:16" ht="15" x14ac:dyDescent="0.25">
      <c r="B36" s="19" t="s">
        <v>57</v>
      </c>
      <c r="C36" s="23" t="e">
        <f>VLOOKUP(B36,#REF!,2)</f>
        <v>#REF!</v>
      </c>
      <c r="D36" s="23" t="e">
        <f>VLOOKUP(B36,#REF!,3)</f>
        <v>#REF!</v>
      </c>
      <c r="E36" s="15" t="e">
        <f>VLOOKUP(B36,#REF!,4)</f>
        <v>#REF!</v>
      </c>
      <c r="F36" s="24" t="e">
        <f>VLOOKUP(B36,#REF!,5)</f>
        <v>#REF!</v>
      </c>
      <c r="H36" s="32" t="e">
        <f>VLOOKUP(B36,#REF!,4)</f>
        <v>#REF!</v>
      </c>
      <c r="I36" s="23" t="e">
        <f>VLOOKUP(B36,#REF!,5)</f>
        <v>#REF!</v>
      </c>
      <c r="J36" s="15" t="e">
        <f>VLOOKUP(B36,#REF!,6)</f>
        <v>#REF!</v>
      </c>
      <c r="K36" s="24" t="e">
        <f>VLOOKUP(B36,#REF!,7)</f>
        <v>#REF!</v>
      </c>
      <c r="M36" s="32" t="e">
        <f t="shared" si="4"/>
        <v>#REF!</v>
      </c>
      <c r="N36" s="37" t="e">
        <f t="shared" si="5"/>
        <v>#REF!</v>
      </c>
      <c r="O36" s="23" t="e">
        <f t="shared" si="6"/>
        <v>#REF!</v>
      </c>
      <c r="P36" s="38" t="e">
        <f t="shared" si="7"/>
        <v>#REF!</v>
      </c>
    </row>
    <row r="37" spans="2:16" ht="15" x14ac:dyDescent="0.25">
      <c r="B37" s="19" t="s">
        <v>16</v>
      </c>
      <c r="C37" s="23" t="e">
        <f>VLOOKUP(B37,#REF!,2)</f>
        <v>#REF!</v>
      </c>
      <c r="D37" s="23" t="e">
        <f>VLOOKUP(B37,#REF!,3)</f>
        <v>#REF!</v>
      </c>
      <c r="E37" s="15" t="e">
        <f>VLOOKUP(B37,#REF!,4)</f>
        <v>#REF!</v>
      </c>
      <c r="F37" s="24" t="e">
        <f>VLOOKUP(B37,#REF!,5)</f>
        <v>#REF!</v>
      </c>
      <c r="H37" s="32" t="e">
        <f>VLOOKUP(B37,#REF!,4)</f>
        <v>#REF!</v>
      </c>
      <c r="I37" s="23" t="e">
        <f>VLOOKUP(B37,#REF!,5)</f>
        <v>#REF!</v>
      </c>
      <c r="J37" s="15" t="e">
        <f>VLOOKUP(B37,#REF!,6)</f>
        <v>#REF!</v>
      </c>
      <c r="K37" s="24" t="e">
        <f>VLOOKUP(B37,#REF!,7)</f>
        <v>#REF!</v>
      </c>
      <c r="M37" s="32" t="e">
        <f t="shared" si="4"/>
        <v>#REF!</v>
      </c>
      <c r="N37" s="37" t="e">
        <f t="shared" si="5"/>
        <v>#REF!</v>
      </c>
      <c r="O37" s="23" t="e">
        <f t="shared" si="6"/>
        <v>#REF!</v>
      </c>
      <c r="P37" s="38" t="e">
        <f t="shared" si="7"/>
        <v>#REF!</v>
      </c>
    </row>
    <row r="38" spans="2:16" ht="15" x14ac:dyDescent="0.25">
      <c r="B38" s="19" t="s">
        <v>58</v>
      </c>
      <c r="C38" s="23" t="e">
        <f>VLOOKUP(B38,#REF!,2)</f>
        <v>#REF!</v>
      </c>
      <c r="D38" s="23" t="e">
        <f>VLOOKUP(B38,#REF!,3)</f>
        <v>#REF!</v>
      </c>
      <c r="E38" s="15" t="e">
        <f>VLOOKUP(B38,#REF!,4)</f>
        <v>#REF!</v>
      </c>
      <c r="F38" s="24" t="e">
        <f>VLOOKUP(B38,#REF!,5)</f>
        <v>#REF!</v>
      </c>
      <c r="H38" s="32" t="e">
        <f>VLOOKUP(B38,#REF!,4)</f>
        <v>#REF!</v>
      </c>
      <c r="I38" s="23" t="e">
        <f>VLOOKUP(B38,#REF!,5)</f>
        <v>#REF!</v>
      </c>
      <c r="J38" s="15" t="e">
        <f>VLOOKUP(B38,#REF!,6)</f>
        <v>#REF!</v>
      </c>
      <c r="K38" s="24" t="e">
        <f>VLOOKUP(B38,#REF!,7)</f>
        <v>#REF!</v>
      </c>
      <c r="M38" s="32" t="e">
        <f t="shared" si="4"/>
        <v>#REF!</v>
      </c>
      <c r="N38" s="37" t="e">
        <f t="shared" si="5"/>
        <v>#REF!</v>
      </c>
      <c r="O38" s="23" t="e">
        <f t="shared" si="6"/>
        <v>#REF!</v>
      </c>
      <c r="P38" s="38" t="e">
        <f t="shared" si="7"/>
        <v>#REF!</v>
      </c>
    </row>
    <row r="39" spans="2:16" ht="15" x14ac:dyDescent="0.25">
      <c r="B39" s="19" t="s">
        <v>59</v>
      </c>
      <c r="C39" s="23" t="e">
        <f>VLOOKUP(B39,#REF!,2)</f>
        <v>#REF!</v>
      </c>
      <c r="D39" s="23" t="e">
        <f>VLOOKUP(B39,#REF!,3)</f>
        <v>#REF!</v>
      </c>
      <c r="E39" s="15" t="e">
        <f>VLOOKUP(B39,#REF!,4)</f>
        <v>#REF!</v>
      </c>
      <c r="F39" s="24" t="e">
        <f>VLOOKUP(B39,#REF!,5)</f>
        <v>#REF!</v>
      </c>
      <c r="H39" s="32" t="e">
        <f>VLOOKUP(B39,#REF!,4)</f>
        <v>#REF!</v>
      </c>
      <c r="I39" s="23" t="e">
        <f>VLOOKUP(B39,#REF!,5)</f>
        <v>#REF!</v>
      </c>
      <c r="J39" s="15" t="e">
        <f>VLOOKUP(B39,#REF!,6)</f>
        <v>#REF!</v>
      </c>
      <c r="K39" s="24" t="e">
        <f>VLOOKUP(B39,#REF!,7)</f>
        <v>#REF!</v>
      </c>
      <c r="M39" s="32" t="e">
        <f t="shared" si="4"/>
        <v>#REF!</v>
      </c>
      <c r="N39" s="37" t="e">
        <f t="shared" si="5"/>
        <v>#REF!</v>
      </c>
      <c r="O39" s="23" t="e">
        <f t="shared" si="6"/>
        <v>#REF!</v>
      </c>
      <c r="P39" s="38" t="e">
        <f t="shared" si="7"/>
        <v>#REF!</v>
      </c>
    </row>
    <row r="40" spans="2:16" ht="15" x14ac:dyDescent="0.25">
      <c r="B40" s="19" t="s">
        <v>60</v>
      </c>
      <c r="C40" s="23" t="e">
        <f>VLOOKUP(B40,#REF!,2)</f>
        <v>#REF!</v>
      </c>
      <c r="D40" s="23" t="e">
        <f>VLOOKUP(B40,#REF!,3)</f>
        <v>#REF!</v>
      </c>
      <c r="E40" s="15" t="e">
        <f>VLOOKUP(B40,#REF!,4)</f>
        <v>#REF!</v>
      </c>
      <c r="F40" s="24" t="e">
        <f>VLOOKUP(B40,#REF!,5)</f>
        <v>#REF!</v>
      </c>
      <c r="H40" s="32" t="e">
        <f>VLOOKUP(B40,#REF!,4)</f>
        <v>#REF!</v>
      </c>
      <c r="I40" s="23" t="e">
        <f>VLOOKUP(B40,#REF!,5)</f>
        <v>#REF!</v>
      </c>
      <c r="J40" s="15" t="e">
        <f>VLOOKUP(B40,#REF!,6)</f>
        <v>#REF!</v>
      </c>
      <c r="K40" s="24" t="e">
        <f>VLOOKUP(B40,#REF!,7)</f>
        <v>#REF!</v>
      </c>
      <c r="M40" s="32" t="e">
        <f t="shared" si="4"/>
        <v>#REF!</v>
      </c>
      <c r="N40" s="37" t="e">
        <f t="shared" si="5"/>
        <v>#REF!</v>
      </c>
      <c r="O40" s="23" t="e">
        <f t="shared" si="6"/>
        <v>#REF!</v>
      </c>
      <c r="P40" s="38" t="e">
        <f t="shared" si="7"/>
        <v>#REF!</v>
      </c>
    </row>
    <row r="41" spans="2:16" ht="15" x14ac:dyDescent="0.25">
      <c r="B41" s="19" t="s">
        <v>45</v>
      </c>
      <c r="C41" s="23" t="e">
        <f>VLOOKUP(B41,#REF!,2)</f>
        <v>#REF!</v>
      </c>
      <c r="D41" s="23" t="e">
        <f>VLOOKUP(B41,#REF!,3)</f>
        <v>#REF!</v>
      </c>
      <c r="E41" s="15" t="e">
        <f>VLOOKUP(B41,#REF!,4)</f>
        <v>#REF!</v>
      </c>
      <c r="F41" s="24" t="e">
        <f>VLOOKUP(B41,#REF!,5)</f>
        <v>#REF!</v>
      </c>
      <c r="H41" s="32" t="e">
        <f>VLOOKUP(B41,#REF!,4)</f>
        <v>#REF!</v>
      </c>
      <c r="I41" s="23" t="e">
        <f>VLOOKUP(B41,#REF!,5)</f>
        <v>#REF!</v>
      </c>
      <c r="J41" s="15" t="e">
        <f>VLOOKUP(B41,#REF!,6)</f>
        <v>#REF!</v>
      </c>
      <c r="K41" s="24" t="e">
        <f>VLOOKUP(B41,#REF!,7)</f>
        <v>#REF!</v>
      </c>
      <c r="M41" s="32" t="e">
        <f t="shared" si="4"/>
        <v>#REF!</v>
      </c>
      <c r="N41" s="37" t="e">
        <f t="shared" si="5"/>
        <v>#REF!</v>
      </c>
      <c r="O41" s="23" t="e">
        <f t="shared" si="6"/>
        <v>#REF!</v>
      </c>
      <c r="P41" s="38" t="e">
        <f t="shared" si="7"/>
        <v>#REF!</v>
      </c>
    </row>
    <row r="42" spans="2:16" ht="15" x14ac:dyDescent="0.25">
      <c r="B42" s="19" t="s">
        <v>32</v>
      </c>
      <c r="C42" s="23" t="e">
        <f>VLOOKUP(B42,#REF!,2)</f>
        <v>#REF!</v>
      </c>
      <c r="D42" s="23" t="e">
        <f>VLOOKUP(B42,#REF!,3)</f>
        <v>#REF!</v>
      </c>
      <c r="E42" s="15" t="e">
        <f>VLOOKUP(B42,#REF!,4)</f>
        <v>#REF!</v>
      </c>
      <c r="F42" s="24" t="e">
        <f>VLOOKUP(B42,#REF!,5)</f>
        <v>#REF!</v>
      </c>
      <c r="H42" s="32" t="e">
        <f>VLOOKUP(B42,#REF!,4)</f>
        <v>#REF!</v>
      </c>
      <c r="I42" s="23" t="e">
        <f>VLOOKUP(B42,#REF!,5)</f>
        <v>#REF!</v>
      </c>
      <c r="J42" s="15" t="e">
        <f>VLOOKUP(B42,#REF!,6)</f>
        <v>#REF!</v>
      </c>
      <c r="K42" s="24" t="e">
        <f>VLOOKUP(B42,#REF!,7)</f>
        <v>#REF!</v>
      </c>
      <c r="M42" s="32" t="e">
        <f t="shared" si="4"/>
        <v>#REF!</v>
      </c>
      <c r="N42" s="37" t="e">
        <f t="shared" si="5"/>
        <v>#REF!</v>
      </c>
      <c r="O42" s="23" t="e">
        <f t="shared" si="6"/>
        <v>#REF!</v>
      </c>
      <c r="P42" s="38" t="e">
        <f t="shared" si="7"/>
        <v>#REF!</v>
      </c>
    </row>
    <row r="43" spans="2:16" ht="15" x14ac:dyDescent="0.25">
      <c r="B43" s="19" t="s">
        <v>46</v>
      </c>
      <c r="C43" s="23" t="e">
        <f>VLOOKUP(B43,#REF!,2)</f>
        <v>#REF!</v>
      </c>
      <c r="D43" s="23" t="e">
        <f>VLOOKUP(B43,#REF!,3)</f>
        <v>#REF!</v>
      </c>
      <c r="E43" s="15" t="e">
        <f>VLOOKUP(B43,#REF!,4)</f>
        <v>#REF!</v>
      </c>
      <c r="F43" s="24" t="e">
        <f>VLOOKUP(B43,#REF!,5)</f>
        <v>#REF!</v>
      </c>
      <c r="H43" s="32" t="e">
        <f>VLOOKUP(B43,#REF!,4)</f>
        <v>#REF!</v>
      </c>
      <c r="I43" s="23" t="e">
        <f>VLOOKUP(B43,#REF!,5)</f>
        <v>#REF!</v>
      </c>
      <c r="J43" s="15" t="e">
        <f>VLOOKUP(B43,#REF!,6)</f>
        <v>#REF!</v>
      </c>
      <c r="K43" s="24" t="e">
        <f>VLOOKUP(B43,#REF!,7)</f>
        <v>#REF!</v>
      </c>
      <c r="M43" s="32" t="e">
        <f t="shared" si="4"/>
        <v>#REF!</v>
      </c>
      <c r="N43" s="37" t="e">
        <f t="shared" si="5"/>
        <v>#REF!</v>
      </c>
      <c r="O43" s="23" t="e">
        <f t="shared" si="6"/>
        <v>#REF!</v>
      </c>
      <c r="P43" s="38" t="e">
        <f t="shared" si="7"/>
        <v>#REF!</v>
      </c>
    </row>
    <row r="44" spans="2:16" ht="15" x14ac:dyDescent="0.25">
      <c r="B44" s="19" t="s">
        <v>47</v>
      </c>
      <c r="C44" s="23" t="e">
        <f>VLOOKUP(B44,#REF!,2)</f>
        <v>#REF!</v>
      </c>
      <c r="D44" s="23" t="e">
        <f>VLOOKUP(B44,#REF!,3)</f>
        <v>#REF!</v>
      </c>
      <c r="E44" s="15" t="e">
        <f>VLOOKUP(B44,#REF!,4)</f>
        <v>#REF!</v>
      </c>
      <c r="F44" s="24" t="e">
        <f>VLOOKUP(B44,#REF!,5)</f>
        <v>#REF!</v>
      </c>
      <c r="H44" s="32" t="e">
        <f>VLOOKUP(B44,#REF!,4)</f>
        <v>#REF!</v>
      </c>
      <c r="I44" s="23" t="e">
        <f>VLOOKUP(B44,#REF!,5)</f>
        <v>#REF!</v>
      </c>
      <c r="J44" s="15" t="e">
        <f>VLOOKUP(B44,#REF!,6)</f>
        <v>#REF!</v>
      </c>
      <c r="K44" s="24" t="e">
        <f>VLOOKUP(B44,#REF!,7)</f>
        <v>#REF!</v>
      </c>
      <c r="M44" s="32" t="e">
        <f t="shared" si="4"/>
        <v>#REF!</v>
      </c>
      <c r="N44" s="37" t="e">
        <f t="shared" si="5"/>
        <v>#REF!</v>
      </c>
      <c r="O44" s="23" t="e">
        <f t="shared" si="6"/>
        <v>#REF!</v>
      </c>
      <c r="P44" s="38" t="e">
        <f t="shared" si="7"/>
        <v>#REF!</v>
      </c>
    </row>
    <row r="45" spans="2:16" ht="15" x14ac:dyDescent="0.25">
      <c r="B45" s="19" t="s">
        <v>61</v>
      </c>
      <c r="C45" s="23" t="e">
        <f>VLOOKUP(B45,#REF!,2)</f>
        <v>#REF!</v>
      </c>
      <c r="D45" s="23" t="e">
        <f>VLOOKUP(B45,#REF!,3)</f>
        <v>#REF!</v>
      </c>
      <c r="E45" s="15" t="e">
        <f>VLOOKUP(B45,#REF!,4)</f>
        <v>#REF!</v>
      </c>
      <c r="F45" s="24" t="e">
        <f>VLOOKUP(B45,#REF!,5)</f>
        <v>#REF!</v>
      </c>
      <c r="H45" s="32" t="e">
        <f>VLOOKUP(B45,#REF!,4)</f>
        <v>#REF!</v>
      </c>
      <c r="I45" s="23" t="e">
        <f>VLOOKUP(B45,#REF!,5)</f>
        <v>#REF!</v>
      </c>
      <c r="J45" s="15" t="e">
        <f>VLOOKUP(B45,#REF!,6)</f>
        <v>#REF!</v>
      </c>
      <c r="K45" s="24" t="e">
        <f>VLOOKUP(B45,#REF!,7)</f>
        <v>#REF!</v>
      </c>
      <c r="M45" s="32" t="e">
        <f t="shared" si="4"/>
        <v>#REF!</v>
      </c>
      <c r="N45" s="37" t="e">
        <f t="shared" si="5"/>
        <v>#REF!</v>
      </c>
      <c r="O45" s="23" t="e">
        <f t="shared" si="6"/>
        <v>#REF!</v>
      </c>
      <c r="P45" s="38" t="e">
        <f t="shared" si="7"/>
        <v>#REF!</v>
      </c>
    </row>
    <row r="46" spans="2:16" ht="15" x14ac:dyDescent="0.25">
      <c r="B46" s="19" t="s">
        <v>33</v>
      </c>
      <c r="C46" s="23" t="e">
        <f>VLOOKUP(B46,#REF!,2)</f>
        <v>#REF!</v>
      </c>
      <c r="D46" s="23" t="e">
        <f>VLOOKUP(B46,#REF!,3)</f>
        <v>#REF!</v>
      </c>
      <c r="E46" s="15" t="e">
        <f>VLOOKUP(B46,#REF!,4)</f>
        <v>#REF!</v>
      </c>
      <c r="F46" s="24" t="e">
        <f>VLOOKUP(B46,#REF!,5)</f>
        <v>#REF!</v>
      </c>
      <c r="H46" s="32" t="e">
        <f>VLOOKUP(B46,#REF!,4)</f>
        <v>#REF!</v>
      </c>
      <c r="I46" s="23" t="e">
        <f>VLOOKUP(B46,#REF!,5)</f>
        <v>#REF!</v>
      </c>
      <c r="J46" s="15" t="e">
        <f>VLOOKUP(B46,#REF!,6)</f>
        <v>#REF!</v>
      </c>
      <c r="K46" s="24" t="e">
        <f>VLOOKUP(B46,#REF!,7)</f>
        <v>#REF!</v>
      </c>
      <c r="M46" s="32" t="e">
        <f t="shared" si="4"/>
        <v>#REF!</v>
      </c>
      <c r="N46" s="37" t="e">
        <f t="shared" si="5"/>
        <v>#REF!</v>
      </c>
      <c r="O46" s="23" t="e">
        <f t="shared" si="6"/>
        <v>#REF!</v>
      </c>
      <c r="P46" s="38" t="e">
        <f t="shared" si="7"/>
        <v>#REF!</v>
      </c>
    </row>
    <row r="47" spans="2:16" ht="15" x14ac:dyDescent="0.25">
      <c r="B47" s="19" t="s">
        <v>34</v>
      </c>
      <c r="C47" s="23" t="e">
        <f>VLOOKUP(B47,#REF!,2)</f>
        <v>#REF!</v>
      </c>
      <c r="D47" s="23" t="e">
        <f>VLOOKUP(B47,#REF!,3)</f>
        <v>#REF!</v>
      </c>
      <c r="E47" s="15" t="e">
        <f>VLOOKUP(B47,#REF!,4)</f>
        <v>#REF!</v>
      </c>
      <c r="F47" s="24" t="e">
        <f>VLOOKUP(B47,#REF!,5)</f>
        <v>#REF!</v>
      </c>
      <c r="H47" s="32" t="e">
        <f>VLOOKUP(B47,#REF!,4)</f>
        <v>#REF!</v>
      </c>
      <c r="I47" s="23" t="e">
        <f>VLOOKUP(B47,#REF!,5)</f>
        <v>#REF!</v>
      </c>
      <c r="J47" s="15" t="e">
        <f>VLOOKUP(B47,#REF!,6)</f>
        <v>#REF!</v>
      </c>
      <c r="K47" s="24" t="e">
        <f>VLOOKUP(B47,#REF!,7)</f>
        <v>#REF!</v>
      </c>
      <c r="M47" s="32" t="e">
        <f t="shared" si="4"/>
        <v>#REF!</v>
      </c>
      <c r="N47" s="37" t="e">
        <f t="shared" si="5"/>
        <v>#REF!</v>
      </c>
      <c r="O47" s="23" t="e">
        <f t="shared" si="6"/>
        <v>#REF!</v>
      </c>
      <c r="P47" s="38" t="e">
        <f t="shared" si="7"/>
        <v>#REF!</v>
      </c>
    </row>
    <row r="48" spans="2:16" ht="15" x14ac:dyDescent="0.25">
      <c r="B48" s="19" t="s">
        <v>17</v>
      </c>
      <c r="C48" s="23" t="e">
        <f>VLOOKUP(B48,#REF!,2)</f>
        <v>#REF!</v>
      </c>
      <c r="D48" s="23" t="e">
        <f>VLOOKUP(B48,#REF!,3)</f>
        <v>#REF!</v>
      </c>
      <c r="E48" s="15" t="e">
        <f>VLOOKUP(B48,#REF!,4)</f>
        <v>#REF!</v>
      </c>
      <c r="F48" s="24" t="e">
        <f>VLOOKUP(B48,#REF!,5)</f>
        <v>#REF!</v>
      </c>
      <c r="H48" s="32" t="e">
        <f>VLOOKUP(B48,#REF!,4)</f>
        <v>#REF!</v>
      </c>
      <c r="I48" s="23" t="e">
        <f>VLOOKUP(B48,#REF!,5)</f>
        <v>#REF!</v>
      </c>
      <c r="J48" s="15" t="e">
        <f>VLOOKUP(B48,#REF!,6)</f>
        <v>#REF!</v>
      </c>
      <c r="K48" s="24" t="e">
        <f>VLOOKUP(B48,#REF!,7)</f>
        <v>#REF!</v>
      </c>
      <c r="M48" s="32" t="e">
        <f t="shared" si="4"/>
        <v>#REF!</v>
      </c>
      <c r="N48" s="37" t="e">
        <f t="shared" si="5"/>
        <v>#REF!</v>
      </c>
      <c r="O48" s="23" t="e">
        <f t="shared" si="6"/>
        <v>#REF!</v>
      </c>
      <c r="P48" s="38" t="e">
        <f t="shared" si="7"/>
        <v>#REF!</v>
      </c>
    </row>
    <row r="49" spans="2:16" ht="15" x14ac:dyDescent="0.25">
      <c r="B49" s="19" t="s">
        <v>35</v>
      </c>
      <c r="C49" s="23" t="e">
        <f>VLOOKUP(B49,#REF!,2)</f>
        <v>#REF!</v>
      </c>
      <c r="D49" s="23" t="e">
        <f>VLOOKUP(B49,#REF!,3)</f>
        <v>#REF!</v>
      </c>
      <c r="E49" s="15" t="e">
        <f>VLOOKUP(B49,#REF!,4)</f>
        <v>#REF!</v>
      </c>
      <c r="F49" s="24" t="e">
        <f>VLOOKUP(B49,#REF!,5)</f>
        <v>#REF!</v>
      </c>
      <c r="H49" s="32" t="e">
        <f>VLOOKUP(B49,#REF!,4)</f>
        <v>#REF!</v>
      </c>
      <c r="I49" s="23" t="e">
        <f>VLOOKUP(B49,#REF!,5)</f>
        <v>#REF!</v>
      </c>
      <c r="J49" s="15" t="e">
        <f>VLOOKUP(B49,#REF!,6)</f>
        <v>#REF!</v>
      </c>
      <c r="K49" s="24" t="e">
        <f>VLOOKUP(B49,#REF!,7)</f>
        <v>#REF!</v>
      </c>
      <c r="M49" s="32" t="e">
        <f t="shared" si="4"/>
        <v>#REF!</v>
      </c>
      <c r="N49" s="37" t="e">
        <f t="shared" si="5"/>
        <v>#REF!</v>
      </c>
      <c r="O49" s="23" t="e">
        <f t="shared" si="6"/>
        <v>#REF!</v>
      </c>
      <c r="P49" s="38" t="e">
        <f t="shared" si="7"/>
        <v>#REF!</v>
      </c>
    </row>
    <row r="50" spans="2:16" ht="15" x14ac:dyDescent="0.25">
      <c r="B50" s="19" t="s">
        <v>48</v>
      </c>
      <c r="C50" s="23" t="e">
        <f>VLOOKUP(B50,#REF!,2)</f>
        <v>#REF!</v>
      </c>
      <c r="D50" s="23" t="e">
        <f>VLOOKUP(B50,#REF!,3)</f>
        <v>#REF!</v>
      </c>
      <c r="E50" s="15" t="e">
        <f>VLOOKUP(B50,#REF!,4)</f>
        <v>#REF!</v>
      </c>
      <c r="F50" s="24" t="e">
        <f>VLOOKUP(B50,#REF!,5)</f>
        <v>#REF!</v>
      </c>
      <c r="H50" s="32" t="e">
        <f>VLOOKUP(B50,#REF!,4)</f>
        <v>#REF!</v>
      </c>
      <c r="I50" s="23" t="e">
        <f>VLOOKUP(B50,#REF!,5)</f>
        <v>#REF!</v>
      </c>
      <c r="J50" s="15" t="e">
        <f>VLOOKUP(B50,#REF!,6)</f>
        <v>#REF!</v>
      </c>
      <c r="K50" s="24" t="e">
        <f>VLOOKUP(B50,#REF!,7)</f>
        <v>#REF!</v>
      </c>
      <c r="M50" s="32" t="e">
        <f t="shared" si="4"/>
        <v>#REF!</v>
      </c>
      <c r="N50" s="37" t="e">
        <f t="shared" si="5"/>
        <v>#REF!</v>
      </c>
      <c r="O50" s="23" t="e">
        <f t="shared" si="6"/>
        <v>#REF!</v>
      </c>
      <c r="P50" s="38" t="e">
        <f t="shared" si="7"/>
        <v>#REF!</v>
      </c>
    </row>
    <row r="51" spans="2:16" ht="15" x14ac:dyDescent="0.25">
      <c r="B51" s="19" t="s">
        <v>49</v>
      </c>
      <c r="C51" s="23" t="e">
        <f>VLOOKUP(B51,#REF!,2)</f>
        <v>#REF!</v>
      </c>
      <c r="D51" s="23" t="e">
        <f>VLOOKUP(B51,#REF!,3)</f>
        <v>#REF!</v>
      </c>
      <c r="E51" s="15" t="e">
        <f>VLOOKUP(B51,#REF!,4)</f>
        <v>#REF!</v>
      </c>
      <c r="F51" s="24" t="e">
        <f>VLOOKUP(B51,#REF!,5)</f>
        <v>#REF!</v>
      </c>
      <c r="H51" s="32" t="e">
        <f>VLOOKUP(B51,#REF!,4)</f>
        <v>#REF!</v>
      </c>
      <c r="I51" s="23" t="e">
        <f>VLOOKUP(B51,#REF!,5)</f>
        <v>#REF!</v>
      </c>
      <c r="J51" s="15" t="e">
        <f>VLOOKUP(B51,#REF!,6)</f>
        <v>#REF!</v>
      </c>
      <c r="K51" s="24" t="e">
        <f>VLOOKUP(B51,#REF!,7)</f>
        <v>#REF!</v>
      </c>
      <c r="M51" s="32" t="e">
        <f t="shared" si="4"/>
        <v>#REF!</v>
      </c>
      <c r="N51" s="37" t="e">
        <f t="shared" si="5"/>
        <v>#REF!</v>
      </c>
      <c r="O51" s="23" t="e">
        <f t="shared" si="6"/>
        <v>#REF!</v>
      </c>
      <c r="P51" s="38" t="e">
        <f t="shared" si="7"/>
        <v>#REF!</v>
      </c>
    </row>
    <row r="52" spans="2:16" ht="15" x14ac:dyDescent="0.25">
      <c r="B52" s="19" t="s">
        <v>50</v>
      </c>
      <c r="C52" s="23" t="e">
        <f>VLOOKUP(B52,#REF!,2)</f>
        <v>#REF!</v>
      </c>
      <c r="D52" s="23" t="e">
        <f>VLOOKUP(B52,#REF!,3)</f>
        <v>#REF!</v>
      </c>
      <c r="E52" s="15" t="e">
        <f>VLOOKUP(B52,#REF!,4)</f>
        <v>#REF!</v>
      </c>
      <c r="F52" s="24" t="e">
        <f>VLOOKUP(B52,#REF!,5)</f>
        <v>#REF!</v>
      </c>
      <c r="H52" s="32" t="e">
        <f>VLOOKUP(B52,#REF!,4)</f>
        <v>#REF!</v>
      </c>
      <c r="I52" s="23" t="e">
        <f>VLOOKUP(B52,#REF!,5)</f>
        <v>#REF!</v>
      </c>
      <c r="J52" s="15" t="e">
        <f>VLOOKUP(B52,#REF!,6)</f>
        <v>#REF!</v>
      </c>
      <c r="K52" s="24" t="e">
        <f>VLOOKUP(B52,#REF!,7)</f>
        <v>#REF!</v>
      </c>
      <c r="M52" s="32" t="e">
        <f t="shared" si="4"/>
        <v>#REF!</v>
      </c>
      <c r="N52" s="37" t="e">
        <f t="shared" si="5"/>
        <v>#REF!</v>
      </c>
      <c r="O52" s="23" t="e">
        <f t="shared" si="6"/>
        <v>#REF!</v>
      </c>
      <c r="P52" s="38" t="e">
        <f t="shared" si="7"/>
        <v>#REF!</v>
      </c>
    </row>
    <row r="53" spans="2:16" ht="15" x14ac:dyDescent="0.25">
      <c r="B53" s="19" t="s">
        <v>36</v>
      </c>
      <c r="C53" s="23" t="e">
        <f>VLOOKUP(B53,#REF!,2)</f>
        <v>#REF!</v>
      </c>
      <c r="D53" s="23" t="e">
        <f>VLOOKUP(B53,#REF!,3)</f>
        <v>#REF!</v>
      </c>
      <c r="E53" s="15" t="e">
        <f>VLOOKUP(B53,#REF!,4)</f>
        <v>#REF!</v>
      </c>
      <c r="F53" s="24" t="e">
        <f>VLOOKUP(B53,#REF!,5)</f>
        <v>#REF!</v>
      </c>
      <c r="H53" s="32" t="e">
        <f>VLOOKUP(B53,#REF!,4)</f>
        <v>#REF!</v>
      </c>
      <c r="I53" s="23" t="e">
        <f>VLOOKUP(B53,#REF!,5)</f>
        <v>#REF!</v>
      </c>
      <c r="J53" s="15" t="e">
        <f>VLOOKUP(B53,#REF!,6)</f>
        <v>#REF!</v>
      </c>
      <c r="K53" s="24" t="e">
        <f>VLOOKUP(B53,#REF!,7)</f>
        <v>#REF!</v>
      </c>
      <c r="M53" s="32" t="e">
        <f t="shared" si="4"/>
        <v>#REF!</v>
      </c>
      <c r="N53" s="37" t="e">
        <f t="shared" si="5"/>
        <v>#REF!</v>
      </c>
      <c r="O53" s="23" t="e">
        <f t="shared" si="6"/>
        <v>#REF!</v>
      </c>
      <c r="P53" s="38" t="e">
        <f t="shared" si="7"/>
        <v>#REF!</v>
      </c>
    </row>
    <row r="54" spans="2:16" ht="15" x14ac:dyDescent="0.25">
      <c r="B54" s="19" t="s">
        <v>37</v>
      </c>
      <c r="C54" s="23" t="e">
        <f>VLOOKUP(B54,#REF!,2)</f>
        <v>#REF!</v>
      </c>
      <c r="D54" s="23" t="e">
        <f>VLOOKUP(B54,#REF!,3)</f>
        <v>#REF!</v>
      </c>
      <c r="E54" s="15" t="e">
        <f>VLOOKUP(B54,#REF!,4)</f>
        <v>#REF!</v>
      </c>
      <c r="F54" s="24" t="e">
        <f>VLOOKUP(B54,#REF!,5)</f>
        <v>#REF!</v>
      </c>
      <c r="H54" s="32" t="e">
        <f>VLOOKUP(B54,#REF!,4)</f>
        <v>#REF!</v>
      </c>
      <c r="I54" s="23" t="e">
        <f>VLOOKUP(B54,#REF!,5)</f>
        <v>#REF!</v>
      </c>
      <c r="J54" s="15" t="e">
        <f>VLOOKUP(B54,#REF!,6)</f>
        <v>#REF!</v>
      </c>
      <c r="K54" s="24" t="e">
        <f>VLOOKUP(B54,#REF!,7)</f>
        <v>#REF!</v>
      </c>
      <c r="M54" s="32" t="e">
        <f t="shared" si="4"/>
        <v>#REF!</v>
      </c>
      <c r="N54" s="37" t="e">
        <f t="shared" si="5"/>
        <v>#REF!</v>
      </c>
      <c r="O54" s="23" t="e">
        <f t="shared" si="6"/>
        <v>#REF!</v>
      </c>
      <c r="P54" s="38" t="e">
        <f t="shared" si="7"/>
        <v>#REF!</v>
      </c>
    </row>
    <row r="55" spans="2:16" ht="15" x14ac:dyDescent="0.25">
      <c r="B55" s="19" t="s">
        <v>18</v>
      </c>
      <c r="C55" s="23" t="e">
        <f>VLOOKUP(B55,#REF!,2)</f>
        <v>#REF!</v>
      </c>
      <c r="D55" s="23" t="e">
        <f>VLOOKUP(B55,#REF!,3)</f>
        <v>#REF!</v>
      </c>
      <c r="E55" s="15" t="e">
        <f>VLOOKUP(B55,#REF!,4)</f>
        <v>#REF!</v>
      </c>
      <c r="F55" s="24" t="e">
        <f>VLOOKUP(B55,#REF!,5)</f>
        <v>#REF!</v>
      </c>
      <c r="H55" s="32" t="e">
        <f>VLOOKUP(B55,#REF!,4)</f>
        <v>#REF!</v>
      </c>
      <c r="I55" s="23" t="e">
        <f>VLOOKUP(B55,#REF!,5)</f>
        <v>#REF!</v>
      </c>
      <c r="J55" s="15" t="e">
        <f>VLOOKUP(B55,#REF!,6)</f>
        <v>#REF!</v>
      </c>
      <c r="K55" s="24" t="e">
        <f>VLOOKUP(B55,#REF!,7)</f>
        <v>#REF!</v>
      </c>
      <c r="M55" s="32" t="e">
        <f t="shared" si="4"/>
        <v>#REF!</v>
      </c>
      <c r="N55" s="37" t="e">
        <f t="shared" si="5"/>
        <v>#REF!</v>
      </c>
      <c r="O55" s="23" t="e">
        <f t="shared" si="6"/>
        <v>#REF!</v>
      </c>
      <c r="P55" s="38" t="e">
        <f t="shared" si="7"/>
        <v>#REF!</v>
      </c>
    </row>
    <row r="56" spans="2:16" ht="15" x14ac:dyDescent="0.25">
      <c r="B56" s="19" t="s">
        <v>51</v>
      </c>
      <c r="C56" s="23" t="e">
        <f>VLOOKUP(B56,#REF!,2)</f>
        <v>#REF!</v>
      </c>
      <c r="D56" s="23" t="e">
        <f>VLOOKUP(B56,#REF!,3)</f>
        <v>#REF!</v>
      </c>
      <c r="E56" s="15" t="e">
        <f>VLOOKUP(B56,#REF!,4)</f>
        <v>#REF!</v>
      </c>
      <c r="F56" s="24" t="e">
        <f>VLOOKUP(B56,#REF!,5)</f>
        <v>#REF!</v>
      </c>
      <c r="H56" s="32" t="e">
        <f>VLOOKUP(B56,#REF!,4)</f>
        <v>#REF!</v>
      </c>
      <c r="I56" s="23" t="e">
        <f>VLOOKUP(B56,#REF!,5)</f>
        <v>#REF!</v>
      </c>
      <c r="J56" s="15" t="e">
        <f>VLOOKUP(B56,#REF!,6)</f>
        <v>#REF!</v>
      </c>
      <c r="K56" s="24" t="e">
        <f>VLOOKUP(B56,#REF!,7)</f>
        <v>#REF!</v>
      </c>
      <c r="M56" s="32" t="e">
        <f t="shared" si="4"/>
        <v>#REF!</v>
      </c>
      <c r="N56" s="37" t="e">
        <f t="shared" si="5"/>
        <v>#REF!</v>
      </c>
      <c r="O56" s="23" t="e">
        <f t="shared" si="6"/>
        <v>#REF!</v>
      </c>
      <c r="P56" s="38" t="e">
        <f t="shared" si="7"/>
        <v>#REF!</v>
      </c>
    </row>
    <row r="57" spans="2:16" ht="15" x14ac:dyDescent="0.25">
      <c r="B57" s="19" t="s">
        <v>38</v>
      </c>
      <c r="C57" s="23" t="e">
        <f>VLOOKUP(B57,#REF!,2)</f>
        <v>#REF!</v>
      </c>
      <c r="D57" s="23" t="e">
        <f>VLOOKUP(B57,#REF!,3)</f>
        <v>#REF!</v>
      </c>
      <c r="E57" s="15" t="e">
        <f>VLOOKUP(B57,#REF!,4)</f>
        <v>#REF!</v>
      </c>
      <c r="F57" s="24" t="e">
        <f>VLOOKUP(B57,#REF!,5)</f>
        <v>#REF!</v>
      </c>
      <c r="H57" s="32" t="e">
        <f>VLOOKUP(B57,#REF!,4)</f>
        <v>#REF!</v>
      </c>
      <c r="I57" s="23" t="e">
        <f>VLOOKUP(B57,#REF!,5)</f>
        <v>#REF!</v>
      </c>
      <c r="J57" s="15" t="e">
        <f>VLOOKUP(B57,#REF!,6)</f>
        <v>#REF!</v>
      </c>
      <c r="K57" s="24" t="e">
        <f>VLOOKUP(B57,#REF!,7)</f>
        <v>#REF!</v>
      </c>
      <c r="M57" s="32" t="e">
        <f t="shared" si="4"/>
        <v>#REF!</v>
      </c>
      <c r="N57" s="37" t="e">
        <f t="shared" si="5"/>
        <v>#REF!</v>
      </c>
      <c r="O57" s="23" t="e">
        <f t="shared" si="6"/>
        <v>#REF!</v>
      </c>
      <c r="P57" s="38" t="e">
        <f t="shared" si="7"/>
        <v>#REF!</v>
      </c>
    </row>
    <row r="58" spans="2:16" ht="15" x14ac:dyDescent="0.25">
      <c r="B58" s="19" t="s">
        <v>52</v>
      </c>
      <c r="C58" s="23" t="e">
        <f>VLOOKUP(B58,#REF!,2)</f>
        <v>#REF!</v>
      </c>
      <c r="D58" s="23" t="e">
        <f>VLOOKUP(B58,#REF!,3)</f>
        <v>#REF!</v>
      </c>
      <c r="E58" s="15" t="e">
        <f>VLOOKUP(B58,#REF!,4)</f>
        <v>#REF!</v>
      </c>
      <c r="F58" s="24" t="e">
        <f>VLOOKUP(B58,#REF!,5)</f>
        <v>#REF!</v>
      </c>
      <c r="H58" s="32" t="e">
        <f>VLOOKUP(B58,#REF!,4)</f>
        <v>#REF!</v>
      </c>
      <c r="I58" s="23" t="e">
        <f>VLOOKUP(B58,#REF!,5)</f>
        <v>#REF!</v>
      </c>
      <c r="J58" s="15" t="e">
        <f>VLOOKUP(B58,#REF!,6)</f>
        <v>#REF!</v>
      </c>
      <c r="K58" s="24" t="e">
        <f>VLOOKUP(B58,#REF!,7)</f>
        <v>#REF!</v>
      </c>
      <c r="M58" s="32" t="e">
        <f t="shared" si="4"/>
        <v>#REF!</v>
      </c>
      <c r="N58" s="37" t="e">
        <f t="shared" si="5"/>
        <v>#REF!</v>
      </c>
      <c r="O58" s="23" t="e">
        <f t="shared" si="6"/>
        <v>#REF!</v>
      </c>
      <c r="P58" s="38" t="e">
        <f t="shared" si="7"/>
        <v>#REF!</v>
      </c>
    </row>
    <row r="59" spans="2:16" ht="15" x14ac:dyDescent="0.25">
      <c r="B59" s="19" t="s">
        <v>39</v>
      </c>
      <c r="C59" s="23" t="e">
        <f>VLOOKUP(B59,#REF!,2)</f>
        <v>#REF!</v>
      </c>
      <c r="D59" s="23" t="e">
        <f>VLOOKUP(B59,#REF!,3)</f>
        <v>#REF!</v>
      </c>
      <c r="E59" s="15" t="e">
        <f>VLOOKUP(B59,#REF!,4)</f>
        <v>#REF!</v>
      </c>
      <c r="F59" s="24" t="e">
        <f>VLOOKUP(B59,#REF!,5)</f>
        <v>#REF!</v>
      </c>
      <c r="H59" s="32" t="e">
        <f>VLOOKUP(B59,#REF!,4)</f>
        <v>#REF!</v>
      </c>
      <c r="I59" s="23" t="e">
        <f>VLOOKUP(B59,#REF!,5)</f>
        <v>#REF!</v>
      </c>
      <c r="J59" s="15" t="e">
        <f>VLOOKUP(B59,#REF!,6)</f>
        <v>#REF!</v>
      </c>
      <c r="K59" s="24" t="e">
        <f>VLOOKUP(B59,#REF!,7)</f>
        <v>#REF!</v>
      </c>
      <c r="M59" s="32" t="e">
        <f t="shared" si="4"/>
        <v>#REF!</v>
      </c>
      <c r="N59" s="37" t="e">
        <f t="shared" si="5"/>
        <v>#REF!</v>
      </c>
      <c r="O59" s="23" t="e">
        <f t="shared" si="6"/>
        <v>#REF!</v>
      </c>
      <c r="P59" s="38" t="e">
        <f t="shared" si="7"/>
        <v>#REF!</v>
      </c>
    </row>
    <row r="60" spans="2:16" thickBot="1" x14ac:dyDescent="0.3">
      <c r="B60" s="25" t="s">
        <v>40</v>
      </c>
      <c r="C60" s="26" t="e">
        <f>VLOOKUP(B60,#REF!,2)</f>
        <v>#REF!</v>
      </c>
      <c r="D60" s="26" t="e">
        <f>VLOOKUP(B60,#REF!,3)</f>
        <v>#REF!</v>
      </c>
      <c r="E60" s="27" t="e">
        <f>VLOOKUP(B60,#REF!,4)</f>
        <v>#REF!</v>
      </c>
      <c r="F60" s="28" t="e">
        <f>VLOOKUP(B60,#REF!,5)</f>
        <v>#REF!</v>
      </c>
      <c r="H60" s="33" t="e">
        <f>VLOOKUP(B60,#REF!,4)</f>
        <v>#REF!</v>
      </c>
      <c r="I60" s="26" t="e">
        <f>VLOOKUP(B60,#REF!,5)</f>
        <v>#REF!</v>
      </c>
      <c r="J60" s="27" t="e">
        <f>VLOOKUP(B60,#REF!,6)</f>
        <v>#REF!</v>
      </c>
      <c r="K60" s="28" t="e">
        <f>VLOOKUP(B60,#REF!,7)</f>
        <v>#REF!</v>
      </c>
      <c r="M60" s="33" t="e">
        <f t="shared" si="4"/>
        <v>#REF!</v>
      </c>
      <c r="N60" s="39" t="e">
        <f t="shared" si="5"/>
        <v>#REF!</v>
      </c>
      <c r="O60" s="26" t="e">
        <f t="shared" si="6"/>
        <v>#REF!</v>
      </c>
      <c r="P60" s="40" t="e">
        <f t="shared" si="7"/>
        <v>#REF!</v>
      </c>
    </row>
    <row r="61" spans="2:16" s="3" customFormat="1" ht="15" x14ac:dyDescent="0.25">
      <c r="B61" s="22" t="s">
        <v>0</v>
      </c>
      <c r="C61" s="13" t="e">
        <f>SUM(C3:C60)</f>
        <v>#REF!</v>
      </c>
      <c r="D61" s="13" t="e">
        <f>SUM(D3:D60)</f>
        <v>#REF!</v>
      </c>
      <c r="E61" s="14" t="e">
        <f>C61/D61</f>
        <v>#REF!</v>
      </c>
      <c r="H61" s="34" t="e">
        <f>SUM(H3:H60)</f>
        <v>#REF!</v>
      </c>
      <c r="I61" s="34" t="e">
        <f>SUM(I3:I60)</f>
        <v>#REF!</v>
      </c>
      <c r="J61" s="35" t="e">
        <f>VLOOKUP(B61,#REF!,6)</f>
        <v>#REF!</v>
      </c>
      <c r="M61" s="13"/>
      <c r="N61" s="13"/>
      <c r="O61" s="13" t="e">
        <f t="shared" ref="O61" si="8">SUM(O3:O60)</f>
        <v>#REF!</v>
      </c>
      <c r="P61" s="41" t="e">
        <f t="shared" si="7"/>
        <v>#REF!</v>
      </c>
    </row>
    <row r="62" spans="2:16" ht="15" x14ac:dyDescent="0.25">
      <c r="B62" s="20"/>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B0F0"/>
    <pageSetUpPr fitToPage="1"/>
  </sheetPr>
  <dimension ref="A1:AD75"/>
  <sheetViews>
    <sheetView tabSelected="1" view="pageBreakPreview" zoomScaleNormal="100" zoomScaleSheetLayoutView="100" workbookViewId="0">
      <pane xSplit="3" ySplit="6" topLeftCell="D7" activePane="bottomRight" state="frozen"/>
      <selection pane="topRight" activeCell="D1" sqref="D1"/>
      <selection pane="bottomLeft" activeCell="A7" sqref="A7"/>
      <selection pane="bottomRight" activeCell="D7" sqref="D7"/>
    </sheetView>
  </sheetViews>
  <sheetFormatPr defaultColWidth="9.28515625" defaultRowHeight="15.75" x14ac:dyDescent="0.25"/>
  <cols>
    <col min="1" max="1" width="7.140625" style="46" customWidth="1"/>
    <col min="2" max="2" width="14.7109375" style="65" bestFit="1" customWidth="1"/>
    <col min="3" max="3" width="1.7109375" style="65" customWidth="1"/>
    <col min="4" max="4" width="12.28515625" style="65" customWidth="1"/>
    <col min="5" max="5" width="13.28515625" style="65" bestFit="1" customWidth="1"/>
    <col min="6" max="6" width="9.28515625" style="65" customWidth="1"/>
    <col min="7" max="7" width="1.7109375" style="65" customWidth="1"/>
    <col min="8" max="8" width="15.85546875" style="65" bestFit="1" customWidth="1"/>
    <col min="9" max="9" width="16.7109375" style="65" bestFit="1" customWidth="1"/>
    <col min="10" max="10" width="16.28515625" style="65" bestFit="1" customWidth="1"/>
    <col min="11" max="11" width="13.28515625" style="65" bestFit="1" customWidth="1"/>
    <col min="12" max="12" width="15" style="65" bestFit="1" customWidth="1"/>
    <col min="13" max="13" width="1.7109375" style="65" customWidth="1"/>
    <col min="14" max="14" width="10.7109375" style="65" customWidth="1"/>
    <col min="15" max="15" width="19.7109375" style="65" bestFit="1" customWidth="1"/>
    <col min="16" max="16" width="1.7109375" style="65" customWidth="1"/>
    <col min="17" max="18" width="12.28515625" style="65" bestFit="1" customWidth="1"/>
    <col min="19" max="19" width="15" style="65" bestFit="1" customWidth="1"/>
    <col min="20" max="20" width="13.5703125" style="65" customWidth="1"/>
    <col min="21" max="21" width="17.140625" style="65" bestFit="1" customWidth="1"/>
    <col min="22" max="22" width="17.42578125" style="65" bestFit="1" customWidth="1"/>
    <col min="23" max="23" width="17.42578125" style="66" bestFit="1" customWidth="1"/>
    <col min="24" max="24" width="1.7109375" style="65" customWidth="1"/>
    <col min="25" max="25" width="17.42578125" style="65" bestFit="1" customWidth="1"/>
    <col min="26" max="26" width="1.7109375" style="65" customWidth="1"/>
    <col min="27" max="27" width="18.140625" style="65" bestFit="1" customWidth="1"/>
    <col min="28" max="28" width="20.140625" style="67" bestFit="1" customWidth="1"/>
    <col min="29" max="29" width="15.140625" style="65" customWidth="1"/>
    <col min="30" max="30" width="17.42578125" style="58" customWidth="1"/>
    <col min="31" max="16384" width="9.28515625" style="65"/>
  </cols>
  <sheetData>
    <row r="1" spans="1:30" s="46" customFormat="1" ht="20.100000000000001" customHeight="1" x14ac:dyDescent="0.25">
      <c r="A1" s="48" t="s">
        <v>237</v>
      </c>
      <c r="C1" s="54"/>
      <c r="D1" s="54"/>
      <c r="E1" s="54"/>
      <c r="F1" s="54"/>
      <c r="G1" s="54"/>
      <c r="H1" s="55"/>
      <c r="I1" s="55"/>
      <c r="J1" s="55"/>
      <c r="K1" s="54"/>
      <c r="L1" s="54"/>
      <c r="M1" s="54"/>
      <c r="N1" s="54"/>
      <c r="O1" s="54"/>
      <c r="P1" s="54"/>
      <c r="Q1" s="54"/>
      <c r="R1" s="54"/>
      <c r="S1" s="54"/>
      <c r="T1" s="54"/>
      <c r="U1" s="54"/>
      <c r="V1" s="54"/>
      <c r="W1" s="54"/>
      <c r="X1" s="54"/>
      <c r="Y1" s="54"/>
      <c r="Z1" s="54"/>
      <c r="AA1" s="54"/>
      <c r="AB1" s="54"/>
      <c r="AC1" s="54"/>
      <c r="AD1" s="45"/>
    </row>
    <row r="2" spans="1:30" s="46" customFormat="1" ht="20.100000000000001" customHeight="1" x14ac:dyDescent="0.25">
      <c r="A2" s="51" t="s">
        <v>255</v>
      </c>
      <c r="C2" s="54"/>
      <c r="D2" s="54"/>
      <c r="E2" s="54"/>
      <c r="F2" s="54"/>
      <c r="G2" s="54"/>
      <c r="H2" s="55"/>
      <c r="I2" s="55"/>
      <c r="J2" s="55"/>
      <c r="K2" s="54"/>
      <c r="L2" s="54"/>
      <c r="M2" s="54"/>
      <c r="N2" s="54"/>
      <c r="O2" s="54"/>
      <c r="P2" s="54"/>
      <c r="Q2" s="54"/>
      <c r="R2" s="54"/>
      <c r="S2" s="54"/>
      <c r="T2" s="54"/>
      <c r="U2" s="54"/>
      <c r="V2" s="54"/>
      <c r="W2" s="54"/>
      <c r="X2" s="54"/>
      <c r="Y2" s="54"/>
      <c r="Z2" s="54"/>
      <c r="AA2" s="54"/>
      <c r="AB2" s="54"/>
      <c r="AC2" s="54"/>
      <c r="AD2" s="45"/>
    </row>
    <row r="3" spans="1:30" s="46" customFormat="1" ht="20.100000000000001" customHeight="1" x14ac:dyDescent="0.25">
      <c r="A3" s="49"/>
      <c r="B3" s="53"/>
      <c r="C3" s="54"/>
      <c r="D3" s="54"/>
      <c r="E3" s="54"/>
      <c r="F3" s="54"/>
      <c r="G3" s="54"/>
      <c r="H3" s="55"/>
      <c r="I3" s="55"/>
      <c r="J3" s="55"/>
      <c r="K3" s="54"/>
      <c r="L3" s="54"/>
      <c r="M3" s="54"/>
      <c r="N3" s="54"/>
      <c r="O3" s="54"/>
      <c r="P3" s="54"/>
      <c r="Q3" s="54"/>
      <c r="R3" s="54"/>
      <c r="S3" s="54"/>
      <c r="T3" s="54"/>
      <c r="U3" s="54"/>
      <c r="V3" s="54"/>
      <c r="W3" s="54"/>
      <c r="X3" s="54"/>
      <c r="Y3" s="54"/>
      <c r="Z3" s="54"/>
      <c r="AA3" s="54"/>
      <c r="AB3" s="54"/>
      <c r="AC3" s="54"/>
      <c r="AD3" s="45"/>
    </row>
    <row r="4" spans="1:30" s="52" customFormat="1" ht="47.1" customHeight="1" x14ac:dyDescent="0.25">
      <c r="A4" s="68"/>
      <c r="B4" s="68"/>
      <c r="C4" s="86"/>
      <c r="D4" s="303" t="s">
        <v>238</v>
      </c>
      <c r="E4" s="304"/>
      <c r="F4" s="304"/>
      <c r="G4" s="86"/>
      <c r="H4" s="312" t="s">
        <v>142</v>
      </c>
      <c r="I4" s="312"/>
      <c r="J4" s="312"/>
      <c r="K4" s="312"/>
      <c r="L4" s="312"/>
      <c r="M4" s="86"/>
      <c r="N4" s="305" t="s">
        <v>151</v>
      </c>
      <c r="O4" s="305"/>
      <c r="P4" s="86"/>
      <c r="Q4" s="308" t="s">
        <v>248</v>
      </c>
      <c r="R4" s="309"/>
      <c r="S4" s="309"/>
      <c r="T4" s="310"/>
      <c r="U4" s="311" t="s">
        <v>153</v>
      </c>
      <c r="V4" s="311"/>
      <c r="W4" s="311"/>
      <c r="X4" s="86"/>
      <c r="Y4" s="302" t="s">
        <v>249</v>
      </c>
      <c r="Z4" s="86"/>
      <c r="AA4" s="45"/>
      <c r="AB4" s="45"/>
      <c r="AC4" s="45"/>
      <c r="AD4" s="45"/>
    </row>
    <row r="5" spans="1:30" s="52" customFormat="1" ht="90" x14ac:dyDescent="0.25">
      <c r="A5" s="306" t="s">
        <v>68</v>
      </c>
      <c r="B5" s="306" t="s">
        <v>63</v>
      </c>
      <c r="C5" s="86"/>
      <c r="D5" s="44" t="s">
        <v>162</v>
      </c>
      <c r="E5" s="44" t="s">
        <v>163</v>
      </c>
      <c r="F5" s="44" t="s">
        <v>141</v>
      </c>
      <c r="G5" s="86"/>
      <c r="H5" s="79" t="s">
        <v>143</v>
      </c>
      <c r="I5" s="79" t="s">
        <v>244</v>
      </c>
      <c r="J5" s="80" t="s">
        <v>245</v>
      </c>
      <c r="K5" s="80" t="s">
        <v>246</v>
      </c>
      <c r="L5" s="79" t="s">
        <v>144</v>
      </c>
      <c r="M5" s="86"/>
      <c r="N5" s="78" t="s">
        <v>247</v>
      </c>
      <c r="O5" s="78" t="s">
        <v>152</v>
      </c>
      <c r="P5" s="86"/>
      <c r="Q5" s="100" t="s">
        <v>154</v>
      </c>
      <c r="R5" s="101" t="s">
        <v>155</v>
      </c>
      <c r="S5" s="100" t="s">
        <v>156</v>
      </c>
      <c r="T5" s="101" t="s">
        <v>157</v>
      </c>
      <c r="U5" s="102" t="s">
        <v>158</v>
      </c>
      <c r="V5" s="102" t="s">
        <v>159</v>
      </c>
      <c r="W5" s="102" t="s">
        <v>67</v>
      </c>
      <c r="X5" s="86"/>
      <c r="Y5" s="302"/>
      <c r="Z5" s="86"/>
      <c r="AA5" s="283" t="s">
        <v>250</v>
      </c>
      <c r="AB5" s="99" t="s">
        <v>211</v>
      </c>
      <c r="AC5" s="99" t="s">
        <v>212</v>
      </c>
      <c r="AD5" s="47"/>
    </row>
    <row r="6" spans="1:30" s="85" customFormat="1" ht="15" customHeight="1" x14ac:dyDescent="0.25">
      <c r="A6" s="307"/>
      <c r="B6" s="307"/>
      <c r="C6" s="87"/>
      <c r="D6" s="83" t="s">
        <v>65</v>
      </c>
      <c r="E6" s="83" t="s">
        <v>1</v>
      </c>
      <c r="F6" s="83" t="s">
        <v>66</v>
      </c>
      <c r="G6" s="87"/>
      <c r="H6" s="83" t="s">
        <v>2</v>
      </c>
      <c r="I6" s="83" t="s">
        <v>3</v>
      </c>
      <c r="J6" s="83" t="s">
        <v>83</v>
      </c>
      <c r="K6" s="83" t="s">
        <v>114</v>
      </c>
      <c r="L6" s="83" t="s">
        <v>84</v>
      </c>
      <c r="M6" s="87"/>
      <c r="N6" s="83" t="s">
        <v>85</v>
      </c>
      <c r="O6" s="83" t="s">
        <v>115</v>
      </c>
      <c r="P6" s="87"/>
      <c r="Q6" s="83" t="s">
        <v>116</v>
      </c>
      <c r="R6" s="83" t="s">
        <v>86</v>
      </c>
      <c r="S6" s="83" t="s">
        <v>76</v>
      </c>
      <c r="T6" s="83" t="s">
        <v>117</v>
      </c>
      <c r="U6" s="83" t="s">
        <v>145</v>
      </c>
      <c r="V6" s="83" t="s">
        <v>146</v>
      </c>
      <c r="W6" s="83" t="s">
        <v>147</v>
      </c>
      <c r="X6" s="87"/>
      <c r="Y6" s="83" t="s">
        <v>148</v>
      </c>
      <c r="Z6" s="87"/>
      <c r="AA6" s="83" t="s">
        <v>149</v>
      </c>
      <c r="AB6" s="83" t="s">
        <v>160</v>
      </c>
      <c r="AC6" s="83" t="s">
        <v>150</v>
      </c>
      <c r="AD6" s="84"/>
    </row>
    <row r="7" spans="1:30" s="56" customFormat="1" ht="20.100000000000001" customHeight="1" x14ac:dyDescent="0.25">
      <c r="A7" s="69">
        <v>4</v>
      </c>
      <c r="B7" s="70" t="s">
        <v>53</v>
      </c>
      <c r="C7" s="86"/>
      <c r="D7" s="71">
        <f>RAS!M7</f>
        <v>488</v>
      </c>
      <c r="E7" s="71">
        <f>RAS!Q7</f>
        <v>81</v>
      </c>
      <c r="F7" s="72">
        <f t="shared" ref="F7:F38" si="0">SUM(D7:E7)</f>
        <v>569</v>
      </c>
      <c r="G7" s="86"/>
      <c r="H7" s="75">
        <f>(F7-1)*'AVG RAS salary'!$F$66</f>
        <v>37514246.935084708</v>
      </c>
      <c r="I7" s="75">
        <f>(F7-1)*(VLOOKUP(B7,'FTE Allotment Factor'!$B$6:$D$63,3))</f>
        <v>54249213.730582573</v>
      </c>
      <c r="J7" s="75">
        <f>(F7-1)*(VLOOKUP(B7,'FTE Allotment Factor'!$B$6:$H$63,7))</f>
        <v>54249213.730582573</v>
      </c>
      <c r="K7" s="75">
        <f>VLOOKUP(A7,'CEO Salary'!$G$7:$H$13,2)</f>
        <v>265871.93483199994</v>
      </c>
      <c r="L7" s="75">
        <f>IF(N7&lt;&gt;0,N7*K7,K7)</f>
        <v>384476.42152121791</v>
      </c>
      <c r="M7" s="86"/>
      <c r="N7" s="90">
        <f>VLOOKUP(B7,BLS!$B$5:$I$64,8, FALSE)</f>
        <v>1.4460963010787964</v>
      </c>
      <c r="O7" s="94">
        <f>J7+L7</f>
        <v>54633690.152103789</v>
      </c>
      <c r="P7" s="86"/>
      <c r="Q7" s="92">
        <f>VLOOKUP(B7,'Program 10'!$A$7:$G$64,6)</f>
        <v>0.30684333480195242</v>
      </c>
      <c r="R7" s="75">
        <f>VLOOKUP(B7,'Program 10'!$A$7:$G$64,7)</f>
        <v>17812.250668704619</v>
      </c>
      <c r="S7" s="92">
        <f>VLOOKUP(B7,'Program 90'!$A$7:$G$64,6)</f>
        <v>0.30563134598792752</v>
      </c>
      <c r="T7" s="75">
        <f>VLOOKUP(B7,'Program 90'!$A$7:$G$64,7)</f>
        <v>19213.73184357542</v>
      </c>
      <c r="U7" s="249">
        <f>(D7*VLOOKUP(B7,'FTE Allotment Factor'!$B$6:$H$63,7,FALSE)*Q7)+(D7*R7)</f>
        <v>22993879.576187365</v>
      </c>
      <c r="V7" s="249">
        <f>((((E7-1)*VLOOKUP(B7,'FTE Allotment Factor'!$B$6:$H$63,7,FALSE))+(K7*N7))*S7)+(T7*E7)</f>
        <v>4009068.2426192975</v>
      </c>
      <c r="W7" s="250">
        <f>SUM(U7:V7)</f>
        <v>27002947.818806663</v>
      </c>
      <c r="X7" s="86"/>
      <c r="Y7" s="250">
        <f>F7*(VLOOKUP(A7, 'OE&amp;E by Cluster'!$B$6:$C$9,2,FALSE))</f>
        <v>11490536.185103396</v>
      </c>
      <c r="Z7" s="86"/>
      <c r="AA7" s="75">
        <f>'AB1058'!E5</f>
        <v>1863910.17</v>
      </c>
      <c r="AB7" s="94">
        <f>(O7+W7+Y7)-AA7</f>
        <v>91263263.98601386</v>
      </c>
      <c r="AC7" s="96">
        <f t="shared" ref="AC7:AC38" si="1">AB7/$AB$65</f>
        <v>3.3136552824127863E-2</v>
      </c>
      <c r="AD7" s="276">
        <f>AB7/F7</f>
        <v>160392.37958877656</v>
      </c>
    </row>
    <row r="8" spans="1:30" s="56" customFormat="1" ht="20.100000000000001" customHeight="1" x14ac:dyDescent="0.25">
      <c r="A8" s="69">
        <v>1</v>
      </c>
      <c r="B8" s="70" t="s">
        <v>4</v>
      </c>
      <c r="D8" s="71">
        <f>RAS!M8</f>
        <v>2</v>
      </c>
      <c r="E8" s="71">
        <f>RAS!Q8</f>
        <v>1</v>
      </c>
      <c r="F8" s="72">
        <f t="shared" si="0"/>
        <v>3</v>
      </c>
      <c r="H8" s="76">
        <f>(F8-1)*'AVG RAS salary'!$F$66</f>
        <v>132092.41878550954</v>
      </c>
      <c r="I8" s="76">
        <f>(F8-1)*(VLOOKUP(B8,'FTE Allotment Factor'!$B$6:$D$63,3))</f>
        <v>85761.817879767797</v>
      </c>
      <c r="J8" s="76">
        <f>(F8-1)*(VLOOKUP(B8,'FTE Allotment Factor'!$B$6:$H$63,7))</f>
        <v>100039.73248184935</v>
      </c>
      <c r="K8" s="273">
        <f>VLOOKUP(A8,'CEO Salary'!$G$7:$H$13,2)</f>
        <v>127124.65839999999</v>
      </c>
      <c r="L8" s="273">
        <f>IF(N8&lt;&gt;0,N8*K8,K8)</f>
        <v>82536.468799407623</v>
      </c>
      <c r="N8" s="90">
        <f>VLOOKUP(B8,BLS!$B$5:$I$64,8, FALSE)</f>
        <v>0.64925616979598999</v>
      </c>
      <c r="O8" s="95">
        <f t="shared" ref="O8:O9" si="2">J8+L8</f>
        <v>182576.20128125697</v>
      </c>
      <c r="Q8" s="92">
        <f>VLOOKUP(B8,'Program 10'!$A$7:$G$64,6)</f>
        <v>0.38730999999999993</v>
      </c>
      <c r="R8" s="9">
        <f>VLOOKUP(B8,'Program 10'!$A$7:$G$64,7)</f>
        <v>29668.133913043479</v>
      </c>
      <c r="S8" s="92">
        <f>VLOOKUP(B8,'Program 90'!$A$7:$G$64,6)</f>
        <v>0.3873100000000001</v>
      </c>
      <c r="T8" s="9">
        <f>VLOOKUP(B8,'Program 90'!$A$7:$G$64,7)</f>
        <v>34989.56</v>
      </c>
      <c r="U8" s="77">
        <f>(D8*VLOOKUP(B8,'FTE Allotment Factor'!$B$7:$H$64,7,FALSE)*Q8)+(D8*R8)</f>
        <v>98082.656613632018</v>
      </c>
      <c r="V8" s="77">
        <f>((((E8-1)*VLOOKUP(B8,'FTE Allotment Factor'!$B$7:$H$64,7,FALSE))+(K8*N8))*S8)+(T8*E8)</f>
        <v>66956.75973069857</v>
      </c>
      <c r="W8" s="95">
        <f t="shared" ref="W8:W38" si="3">SUM(U8:V8)</f>
        <v>165039.41634433059</v>
      </c>
      <c r="Y8" s="95">
        <f>F8*(VLOOKUP(A8, 'OE&amp;E by Cluster'!$B$6:$C$9,2,FALSE))</f>
        <v>88617.650499163254</v>
      </c>
      <c r="AA8" s="273">
        <f>'AB1058'!E6</f>
        <v>0</v>
      </c>
      <c r="AB8" s="95">
        <f t="shared" ref="AB8:AB38" si="4">(O8+W8+Y8)-AA8</f>
        <v>436233.26812475082</v>
      </c>
      <c r="AC8" s="97">
        <f t="shared" si="1"/>
        <v>1.5839085850658392E-4</v>
      </c>
      <c r="AD8" s="58">
        <f t="shared" ref="AD8:AD64" si="5">AB8/F8</f>
        <v>145411.08937491695</v>
      </c>
    </row>
    <row r="9" spans="1:30" s="56" customFormat="1" ht="20.100000000000001" customHeight="1" x14ac:dyDescent="0.25">
      <c r="A9" s="69">
        <v>1</v>
      </c>
      <c r="B9" s="70" t="s">
        <v>5</v>
      </c>
      <c r="D9" s="71">
        <f>RAS!M9</f>
        <v>24</v>
      </c>
      <c r="E9" s="71">
        <f>RAS!Q9</f>
        <v>8</v>
      </c>
      <c r="F9" s="72">
        <f t="shared" si="0"/>
        <v>32</v>
      </c>
      <c r="H9" s="76">
        <f>(F9-1)*'AVG RAS salary'!$F$66</f>
        <v>2047432.4911753978</v>
      </c>
      <c r="I9" s="76">
        <f>(F9-1)*(VLOOKUP(B9,'FTE Allotment Factor'!$B$6:$D$63,3))</f>
        <v>1982507.7380421774</v>
      </c>
      <c r="J9" s="76">
        <f>(F9-1)*(VLOOKUP(B9,'FTE Allotment Factor'!$B$6:$H$63,7))</f>
        <v>1982507.7380421774</v>
      </c>
      <c r="K9" s="273">
        <f>VLOOKUP(A9,'CEO Salary'!$G$7:$H$13,2)</f>
        <v>127124.65839999999</v>
      </c>
      <c r="L9" s="273">
        <f t="shared" ref="L9:L51" si="6">IF(N9&lt;&gt;0,N9*K9,K9)</f>
        <v>123093.49395412038</v>
      </c>
      <c r="N9" s="90">
        <f>VLOOKUP(B9,BLS!$B$5:$I$64,8, FALSE)</f>
        <v>0.96828967332839966</v>
      </c>
      <c r="O9" s="95">
        <f t="shared" si="2"/>
        <v>2105601.2319962978</v>
      </c>
      <c r="Q9" s="92">
        <f>VLOOKUP(B9,'Program 10'!$A$7:$G$64,6)</f>
        <v>0.41759999999999997</v>
      </c>
      <c r="R9" s="9">
        <f>VLOOKUP(B9,'Program 10'!$A$7:$G$64,7)</f>
        <v>11581.751209027405</v>
      </c>
      <c r="S9" s="92">
        <f>VLOOKUP(B9,'Program 90'!$A$7:$G$64,6)</f>
        <v>0.41760000000000008</v>
      </c>
      <c r="T9" s="9">
        <f>VLOOKUP(B9,'Program 90'!$A$7:$G$64,7)</f>
        <v>11718.601111111111</v>
      </c>
      <c r="U9" s="77">
        <f>(D9*VLOOKUP(B9,'FTE Allotment Factor'!$B$7:$H$64,7,FALSE)*Q9)+(D9*R9)</f>
        <v>918913.17591194541</v>
      </c>
      <c r="V9" s="77">
        <f>((((E9-1)*VLOOKUP(B9,'FTE Allotment Factor'!$B$7:$H$64,7,FALSE))+(K9*N9))*S9)+(T9*E9)</f>
        <v>332096.73647525522</v>
      </c>
      <c r="W9" s="95">
        <f t="shared" si="3"/>
        <v>1251009.9123872006</v>
      </c>
      <c r="Y9" s="95">
        <f>F9*(VLOOKUP(A9, 'OE&amp;E by Cluster'!$B$6:$C$9,2,FALSE))</f>
        <v>945254.93865774141</v>
      </c>
      <c r="AA9" s="273">
        <f>'AB1058'!E7</f>
        <v>196939.02</v>
      </c>
      <c r="AB9" s="95">
        <f t="shared" si="4"/>
        <v>4104927.0630412395</v>
      </c>
      <c r="AC9" s="96">
        <f t="shared" si="1"/>
        <v>1.4904478157224759E-3</v>
      </c>
      <c r="AD9" s="58">
        <f t="shared" si="5"/>
        <v>128278.97072003873</v>
      </c>
    </row>
    <row r="10" spans="1:30" s="56" customFormat="1" ht="20.100000000000001" customHeight="1" x14ac:dyDescent="0.25">
      <c r="A10" s="69">
        <v>2</v>
      </c>
      <c r="B10" s="70" t="s">
        <v>19</v>
      </c>
      <c r="D10" s="71">
        <f>RAS!M10</f>
        <v>115</v>
      </c>
      <c r="E10" s="71">
        <f>RAS!Q10</f>
        <v>25</v>
      </c>
      <c r="F10" s="72">
        <f t="shared" si="0"/>
        <v>140</v>
      </c>
      <c r="H10" s="76">
        <f>(F10-1)*'AVG RAS salary'!$F$66</f>
        <v>9180423.1055929121</v>
      </c>
      <c r="I10" s="76">
        <f>(F10-1)*(VLOOKUP(B10,'FTE Allotment Factor'!$B$6:$D$63,3))</f>
        <v>8360475.2832445484</v>
      </c>
      <c r="J10" s="76">
        <f>(F10-1)*(VLOOKUP(B10,'FTE Allotment Factor'!$B$6:$H$63,7))</f>
        <v>8360475.2832445484</v>
      </c>
      <c r="K10" s="273">
        <f>VLOOKUP(A10,'CEO Salary'!$G$7:$H$13,2)</f>
        <v>190157.45434750689</v>
      </c>
      <c r="L10" s="273">
        <f t="shared" si="6"/>
        <v>173173.57584842583</v>
      </c>
      <c r="N10" s="90">
        <f>VLOOKUP(B10,BLS!$B$5:$I$64,8, FALSE)</f>
        <v>0.91068518161773682</v>
      </c>
      <c r="O10" s="95">
        <f>J10+L10</f>
        <v>8533648.859092975</v>
      </c>
      <c r="Q10" s="92">
        <f>VLOOKUP(B10,'Program 10'!$A$7:$G$64,6)</f>
        <v>0.31278999999999996</v>
      </c>
      <c r="R10" s="9">
        <f>VLOOKUP(B10,'Program 10'!$A$7:$G$64,7)</f>
        <v>12353.617251944383</v>
      </c>
      <c r="S10" s="92">
        <f>VLOOKUP(B10,'Program 90'!$A$7:$G$64,6)</f>
        <v>0.31279000000000007</v>
      </c>
      <c r="T10" s="9">
        <f>VLOOKUP(B10,'Program 90'!$A$7:$G$64,7)</f>
        <v>13093.964743589746</v>
      </c>
      <c r="U10" s="77">
        <f>(D10*VLOOKUP(B10,'FTE Allotment Factor'!$B$7:$H$64,7,FALSE)*Q10)+(D10*R10)</f>
        <v>3584215.6411124319</v>
      </c>
      <c r="V10" s="77">
        <f>((((E10-1)*VLOOKUP(B10,'FTE Allotment Factor'!$B$7:$H$64,7,FALSE))+(K10*N10))*S10)+(T10*E10)</f>
        <v>833039.48808660661</v>
      </c>
      <c r="W10" s="95">
        <f t="shared" si="3"/>
        <v>4417255.1291990383</v>
      </c>
      <c r="Y10" s="95">
        <f>F10*(VLOOKUP(A10, 'OE&amp;E by Cluster'!$B$6:$C$9,2,FALSE))</f>
        <v>2827196.9523980236</v>
      </c>
      <c r="AA10" s="273">
        <f>'AB1058'!E8</f>
        <v>278428.37</v>
      </c>
      <c r="AB10" s="95">
        <f t="shared" si="4"/>
        <v>15499672.570690038</v>
      </c>
      <c r="AC10" s="96">
        <f t="shared" si="1"/>
        <v>5.6277377825766388E-3</v>
      </c>
      <c r="AD10" s="58">
        <f t="shared" si="5"/>
        <v>110711.94693350027</v>
      </c>
    </row>
    <row r="11" spans="1:30" s="56" customFormat="1" ht="20.100000000000001" customHeight="1" x14ac:dyDescent="0.25">
      <c r="A11" s="69">
        <v>1</v>
      </c>
      <c r="B11" s="70" t="s">
        <v>6</v>
      </c>
      <c r="C11" s="88"/>
      <c r="D11" s="71">
        <f>RAS!M11</f>
        <v>21</v>
      </c>
      <c r="E11" s="71">
        <f>RAS!Q11</f>
        <v>7</v>
      </c>
      <c r="F11" s="72">
        <f t="shared" si="0"/>
        <v>28</v>
      </c>
      <c r="G11" s="88"/>
      <c r="H11" s="76">
        <f>(F11-1)*'AVG RAS salary'!$F$66</f>
        <v>1783247.6536043787</v>
      </c>
      <c r="I11" s="76">
        <f>(F11-1)*(VLOOKUP(B11,'FTE Allotment Factor'!$B$6:$D$63,3))</f>
        <v>1479592.559193688</v>
      </c>
      <c r="J11" s="76">
        <f>(F11-1)*(VLOOKUP(B11,'FTE Allotment Factor'!$B$6:$H$63,7))</f>
        <v>1479592.559193688</v>
      </c>
      <c r="K11" s="273">
        <f>VLOOKUP(A11,'CEO Salary'!$G$7:$H$13,2)</f>
        <v>127124.65839999999</v>
      </c>
      <c r="L11" s="273">
        <f t="shared" si="6"/>
        <v>105477.60894483617</v>
      </c>
      <c r="M11" s="88"/>
      <c r="N11" s="90">
        <f>VLOOKUP(B11,BLS!$B$5:$I$64,8, FALSE)</f>
        <v>0.82971793413162231</v>
      </c>
      <c r="O11" s="95">
        <f>J11+L11</f>
        <v>1585070.1681385241</v>
      </c>
      <c r="P11" s="88"/>
      <c r="Q11" s="92">
        <f>VLOOKUP(B11,'Program 10'!$A$7:$G$64,6)</f>
        <v>0.21099600762933682</v>
      </c>
      <c r="R11" s="9">
        <f>VLOOKUP(B11,'Program 10'!$A$7:$G$64,7)</f>
        <v>15996.8732808399</v>
      </c>
      <c r="S11" s="92">
        <f>VLOOKUP(B11,'Program 90'!$A$7:$G$64,6)</f>
        <v>0.21360000000000001</v>
      </c>
      <c r="T11" s="9">
        <f>VLOOKUP(B11,'Program 90'!$A$7:$G$64,7)</f>
        <v>18378.36</v>
      </c>
      <c r="U11" s="77">
        <f>(D11*VLOOKUP(B11,'FTE Allotment Factor'!$B$7:$H$64,7,FALSE)*Q11)+(D11*R11)</f>
        <v>578747.32338159229</v>
      </c>
      <c r="V11" s="77">
        <f>((((E11-1)*VLOOKUP(B11,'FTE Allotment Factor'!$B$7:$H$64,7,FALSE))+(K11*N11))*S11)+(T11*E11)</f>
        <v>221409.86408034409</v>
      </c>
      <c r="W11" s="95">
        <f t="shared" si="3"/>
        <v>800157.18746193638</v>
      </c>
      <c r="X11" s="88"/>
      <c r="Y11" s="95">
        <f>F11*(VLOOKUP(A11, 'OE&amp;E by Cluster'!$B$6:$C$9,2,FALSE))</f>
        <v>827098.07132552378</v>
      </c>
      <c r="Z11" s="88"/>
      <c r="AA11" s="273">
        <f>'AB1058'!E9</f>
        <v>177942.78</v>
      </c>
      <c r="AB11" s="95">
        <f t="shared" si="4"/>
        <v>3034382.6469259844</v>
      </c>
      <c r="AC11" s="96">
        <f t="shared" si="1"/>
        <v>1.1017464911608791E-3</v>
      </c>
      <c r="AD11" s="58">
        <f t="shared" si="5"/>
        <v>108370.80881878515</v>
      </c>
    </row>
    <row r="12" spans="1:30" s="56" customFormat="1" ht="20.100000000000001" customHeight="1" x14ac:dyDescent="0.25">
      <c r="A12" s="69">
        <v>1</v>
      </c>
      <c r="B12" s="70" t="s">
        <v>7</v>
      </c>
      <c r="D12" s="71">
        <f>RAS!M12</f>
        <v>15</v>
      </c>
      <c r="E12" s="71">
        <f>RAS!Q12</f>
        <v>5</v>
      </c>
      <c r="F12" s="72">
        <f t="shared" si="0"/>
        <v>20</v>
      </c>
      <c r="H12" s="76">
        <f>(F12-1)*'AVG RAS salary'!$F$66</f>
        <v>1254877.9784623405</v>
      </c>
      <c r="I12" s="76">
        <f>(F12-1)*(VLOOKUP(B12,'FTE Allotment Factor'!$B$6:$D$63,3))</f>
        <v>918968.51473934215</v>
      </c>
      <c r="J12" s="76">
        <f>(F12-1)*(VLOOKUP(B12,'FTE Allotment Factor'!$B$6:$H$63,7))</f>
        <v>950377.45857756888</v>
      </c>
      <c r="K12" s="273">
        <f>VLOOKUP(A12,'CEO Salary'!$G$7:$H$13,2)</f>
        <v>127124.65839999999</v>
      </c>
      <c r="L12" s="273">
        <f t="shared" si="6"/>
        <v>93095.552333895816</v>
      </c>
      <c r="N12" s="90">
        <f>VLOOKUP(B12,BLS!$B$5:$I$64,8, FALSE)</f>
        <v>0.73231703042984009</v>
      </c>
      <c r="O12" s="95">
        <f t="shared" ref="O12:O63" si="7">J12+L12</f>
        <v>1043473.0109114647</v>
      </c>
      <c r="Q12" s="92">
        <f>VLOOKUP(B12,'Program 10'!$A$7:$G$64,6)</f>
        <v>0.53858999999999979</v>
      </c>
      <c r="R12" s="9">
        <f>VLOOKUP(B12,'Program 10'!$A$7:$G$64,7)</f>
        <v>14198.150000000007</v>
      </c>
      <c r="S12" s="92">
        <f>VLOOKUP(B12,'Program 90'!$A$7:$G$64,6)</f>
        <v>0.53859000000000001</v>
      </c>
      <c r="T12" s="9">
        <f>VLOOKUP(B12,'Program 90'!$A$7:$G$64,7)</f>
        <v>14198.149999999998</v>
      </c>
      <c r="U12" s="77">
        <f>(D12*VLOOKUP(B12,'FTE Allotment Factor'!$B$7:$H$64,7,FALSE)*Q12)+(D12*R12)</f>
        <v>617075.24638049421</v>
      </c>
      <c r="V12" s="77">
        <f>((((E12-1)*VLOOKUP(B12,'FTE Allotment Factor'!$B$7:$H$64,7,FALSE))+(K12*N12))*S12)+(T12*E12)</f>
        <v>228891.8825663114</v>
      </c>
      <c r="W12" s="95">
        <f t="shared" si="3"/>
        <v>845967.12894680561</v>
      </c>
      <c r="Y12" s="95">
        <f>F12*(VLOOKUP(A12, 'OE&amp;E by Cluster'!$B$6:$C$9,2,FALSE))</f>
        <v>590784.3366610884</v>
      </c>
      <c r="AA12" s="273">
        <f>'AB1058'!E10</f>
        <v>64603.41</v>
      </c>
      <c r="AB12" s="95">
        <f t="shared" si="4"/>
        <v>2415621.0665193587</v>
      </c>
      <c r="AC12" s="96">
        <f t="shared" si="1"/>
        <v>8.7708187914538977E-4</v>
      </c>
      <c r="AD12" s="58">
        <f t="shared" si="5"/>
        <v>120781.05332596794</v>
      </c>
    </row>
    <row r="13" spans="1:30" s="56" customFormat="1" ht="20.100000000000001" customHeight="1" x14ac:dyDescent="0.25">
      <c r="A13" s="69">
        <v>3</v>
      </c>
      <c r="B13" s="70" t="s">
        <v>41</v>
      </c>
      <c r="D13" s="71">
        <f>RAS!M13</f>
        <v>329</v>
      </c>
      <c r="E13" s="71">
        <f>RAS!Q13</f>
        <v>50</v>
      </c>
      <c r="F13" s="72">
        <f t="shared" si="0"/>
        <v>379</v>
      </c>
      <c r="H13" s="76">
        <f>(F13-1)*'AVG RAS salary'!$F$66</f>
        <v>24965467.150461301</v>
      </c>
      <c r="I13" s="76">
        <f>(F13-1)*(VLOOKUP(B13,'FTE Allotment Factor'!$B$6:$D$63,3))</f>
        <v>32508973.797555257</v>
      </c>
      <c r="J13" s="76">
        <f>(F13-1)*(VLOOKUP(B13,'FTE Allotment Factor'!$B$6:$H$63,7))</f>
        <v>32508973.797555257</v>
      </c>
      <c r="K13" s="273">
        <f>VLOOKUP(A13,'CEO Salary'!$G$7:$H$13,2)</f>
        <v>213653.64014246574</v>
      </c>
      <c r="L13" s="273">
        <f t="shared" si="6"/>
        <v>278210.7199229949</v>
      </c>
      <c r="N13" s="90">
        <f>VLOOKUP(B13,BLS!$B$5:$I$64,8, FALSE)</f>
        <v>1.3021576404571533</v>
      </c>
      <c r="O13" s="95">
        <f t="shared" si="7"/>
        <v>32787184.51747825</v>
      </c>
      <c r="Q13" s="92">
        <f>VLOOKUP(B13,'Program 10'!$A$7:$G$64,6)</f>
        <v>0.34875637497688883</v>
      </c>
      <c r="R13" s="9">
        <f>VLOOKUP(B13,'Program 10'!$A$7:$G$64,7)</f>
        <v>23360.448213001677</v>
      </c>
      <c r="S13" s="92">
        <f>VLOOKUP(B13,'Program 90'!$A$7:$G$64,6)</f>
        <v>0.34276226030829476</v>
      </c>
      <c r="T13" s="9">
        <f>VLOOKUP(B13,'Program 90'!$A$7:$G$64,7)</f>
        <v>25674.708025568165</v>
      </c>
      <c r="U13" s="77">
        <f>(D13*VLOOKUP(B13,'FTE Allotment Factor'!$B$7:$H$64,7,FALSE)*Q13)+(D13*R13)</f>
        <v>17553595.929209769</v>
      </c>
      <c r="V13" s="77">
        <f>((((E13-1)*VLOOKUP(B13,'FTE Allotment Factor'!$B$7:$H$64,7,FALSE))+(K13*N13))*S13)+(T13*E13)</f>
        <v>2823538.9693344003</v>
      </c>
      <c r="W13" s="95">
        <f t="shared" si="3"/>
        <v>20377134.89854417</v>
      </c>
      <c r="Y13" s="95">
        <f>F13*(VLOOKUP(A13, 'OE&amp;E by Cluster'!$B$6:$C$9,2,FALSE))</f>
        <v>7653626.0354203638</v>
      </c>
      <c r="AA13" s="273">
        <f>'AB1058'!E11</f>
        <v>1182408.99</v>
      </c>
      <c r="AB13" s="95">
        <f t="shared" si="4"/>
        <v>59635536.461442783</v>
      </c>
      <c r="AC13" s="96">
        <f t="shared" si="1"/>
        <v>2.1652919453468623E-2</v>
      </c>
      <c r="AD13" s="58">
        <f t="shared" si="5"/>
        <v>157349.7004259704</v>
      </c>
    </row>
    <row r="14" spans="1:30" s="56" customFormat="1" ht="20.100000000000001" customHeight="1" x14ac:dyDescent="0.25">
      <c r="A14" s="69">
        <v>1</v>
      </c>
      <c r="B14" s="70" t="s">
        <v>8</v>
      </c>
      <c r="D14" s="71">
        <f>RAS!M14</f>
        <v>22</v>
      </c>
      <c r="E14" s="71">
        <f>RAS!Q14</f>
        <v>7</v>
      </c>
      <c r="F14" s="72">
        <f t="shared" si="0"/>
        <v>29</v>
      </c>
      <c r="H14" s="76">
        <f>(F14-1)*'AVG RAS salary'!$F$66</f>
        <v>1849293.8629971335</v>
      </c>
      <c r="I14" s="76">
        <f>(F14-1)*(VLOOKUP(B14,'FTE Allotment Factor'!$B$6:$D$63,3))</f>
        <v>1400556.2547458909</v>
      </c>
      <c r="J14" s="76">
        <f>(F14-1)*(VLOOKUP(B14,'FTE Allotment Factor'!$B$6:$H$63,7))</f>
        <v>1400556.2547458909</v>
      </c>
      <c r="K14" s="273">
        <f>VLOOKUP(A14,'CEO Salary'!$G$7:$H$13,2)</f>
        <v>127124.65839999999</v>
      </c>
      <c r="L14" s="273">
        <f t="shared" si="6"/>
        <v>96277.416486960312</v>
      </c>
      <c r="N14" s="90">
        <f>VLOOKUP(B14,BLS!$B$5:$I$64,8, FALSE)</f>
        <v>0.757346510887146</v>
      </c>
      <c r="O14" s="95">
        <f t="shared" si="7"/>
        <v>1496833.6712328512</v>
      </c>
      <c r="Q14" s="92">
        <f>VLOOKUP(B14,'Program 10'!$A$7:$G$64,6)</f>
        <v>0.31237999999999982</v>
      </c>
      <c r="R14" s="9">
        <f>VLOOKUP(B14,'Program 10'!$A$7:$G$64,7)</f>
        <v>25598.766901408446</v>
      </c>
      <c r="S14" s="92">
        <f>VLOOKUP(B14,'Program 90'!$A$7:$G$64,6)</f>
        <v>0.31237999999999994</v>
      </c>
      <c r="T14" s="9">
        <f>VLOOKUP(B14,'Program 90'!$A$7:$G$64,7)</f>
        <v>25424.43</v>
      </c>
      <c r="U14" s="77">
        <f>(D14*VLOOKUP(B14,'FTE Allotment Factor'!$B$7:$H$64,7,FALSE)*Q14)+(D14*R14)</f>
        <v>906927.39979046676</v>
      </c>
      <c r="V14" s="77">
        <f>((((E14-1)*VLOOKUP(B14,'FTE Allotment Factor'!$B$7:$H$64,7,FALSE))+(K14*N14))*S14)+(T14*E14)</f>
        <v>301797.38426023693</v>
      </c>
      <c r="W14" s="95">
        <f t="shared" si="3"/>
        <v>1208724.7840507037</v>
      </c>
      <c r="Y14" s="95">
        <f>F14*(VLOOKUP(A14, 'OE&amp;E by Cluster'!$B$6:$C$9,2,FALSE))</f>
        <v>856637.2881585781</v>
      </c>
      <c r="AA14" s="273">
        <f>'AB1058'!E12</f>
        <v>113604.92</v>
      </c>
      <c r="AB14" s="95">
        <f t="shared" si="4"/>
        <v>3448590.8234421331</v>
      </c>
      <c r="AC14" s="96">
        <f t="shared" si="1"/>
        <v>1.2521403136239511E-3</v>
      </c>
      <c r="AD14" s="58">
        <f t="shared" si="5"/>
        <v>118916.92494628046</v>
      </c>
    </row>
    <row r="15" spans="1:30" s="56" customFormat="1" ht="20.100000000000001" customHeight="1" x14ac:dyDescent="0.25">
      <c r="A15" s="69">
        <v>2</v>
      </c>
      <c r="B15" s="70" t="s">
        <v>20</v>
      </c>
      <c r="D15" s="71">
        <f>RAS!M15</f>
        <v>66</v>
      </c>
      <c r="E15" s="71">
        <f>RAS!Q15</f>
        <v>13</v>
      </c>
      <c r="F15" s="72">
        <f t="shared" si="0"/>
        <v>79</v>
      </c>
      <c r="H15" s="76">
        <f>(F15-1)*'AVG RAS salary'!$F$66</f>
        <v>5151604.3326348718</v>
      </c>
      <c r="I15" s="76">
        <f>(F15-1)*(VLOOKUP(B15,'FTE Allotment Factor'!$B$6:$D$63,3))</f>
        <v>5537583.7093681768</v>
      </c>
      <c r="J15" s="76">
        <f>(F15-1)*(VLOOKUP(B15,'FTE Allotment Factor'!$B$6:$H$63,7))</f>
        <v>5537583.7093681768</v>
      </c>
      <c r="K15" s="273">
        <f>VLOOKUP(A15,'CEO Salary'!$G$7:$H$13,2)</f>
        <v>190157.45434750689</v>
      </c>
      <c r="L15" s="273">
        <f t="shared" si="6"/>
        <v>204404.83263416629</v>
      </c>
      <c r="N15" s="90">
        <f>VLOOKUP(B15,BLS!$B$5:$I$64,8, FALSE)</f>
        <v>1.074924111366272</v>
      </c>
      <c r="O15" s="95">
        <f t="shared" si="7"/>
        <v>5741988.5420023426</v>
      </c>
      <c r="Q15" s="92">
        <f>VLOOKUP(B15,'Program 10'!$A$7:$G$64,6)</f>
        <v>0.3305500000000004</v>
      </c>
      <c r="R15" s="9">
        <f>VLOOKUP(B15,'Program 10'!$A$7:$G$64,7)</f>
        <v>18844.934465622853</v>
      </c>
      <c r="S15" s="92">
        <f>VLOOKUP(B15,'Program 90'!$A$7:$G$64,6)</f>
        <v>0.33055000000000007</v>
      </c>
      <c r="T15" s="9">
        <f>VLOOKUP(B15,'Program 90'!$A$7:$G$64,7)</f>
        <v>16959.423333333329</v>
      </c>
      <c r="U15" s="77">
        <f>(D15*VLOOKUP(B15,'FTE Allotment Factor'!$B$7:$H$64,7,FALSE)*Q15)+(D15*R15)</f>
        <v>2792606.5398425069</v>
      </c>
      <c r="V15" s="77">
        <f>((((E15-1)*VLOOKUP(B15,'FTE Allotment Factor'!$B$7:$H$64,7,FALSE))+(K15*N15))*S15)+(T15*E15)</f>
        <v>569645.95078081102</v>
      </c>
      <c r="W15" s="95">
        <f t="shared" si="3"/>
        <v>3362252.4906233177</v>
      </c>
      <c r="Y15" s="95">
        <f>F15*(VLOOKUP(A15, 'OE&amp;E by Cluster'!$B$6:$C$9,2,FALSE))</f>
        <v>1595346.8517103132</v>
      </c>
      <c r="AA15" s="273">
        <f>'AB1058'!E13</f>
        <v>375219.55</v>
      </c>
      <c r="AB15" s="95">
        <f t="shared" si="4"/>
        <v>10324368.334335973</v>
      </c>
      <c r="AC15" s="96">
        <f t="shared" si="1"/>
        <v>3.7486493660681048E-3</v>
      </c>
      <c r="AD15" s="58">
        <f t="shared" si="5"/>
        <v>130688.20676374649</v>
      </c>
    </row>
    <row r="16" spans="1:30" s="56" customFormat="1" ht="20.100000000000001" customHeight="1" x14ac:dyDescent="0.25">
      <c r="A16" s="69">
        <v>3</v>
      </c>
      <c r="B16" s="70" t="s">
        <v>42</v>
      </c>
      <c r="D16" s="71">
        <f>RAS!M16</f>
        <v>479</v>
      </c>
      <c r="E16" s="71">
        <f>RAS!Q16</f>
        <v>71</v>
      </c>
      <c r="F16" s="72">
        <f t="shared" si="0"/>
        <v>550</v>
      </c>
      <c r="H16" s="76">
        <f>(F16-1)*'AVG RAS salary'!$F$66</f>
        <v>36259368.95662237</v>
      </c>
      <c r="I16" s="76">
        <f>(F16-1)*(VLOOKUP(B16,'FTE Allotment Factor'!$B$6:$D$63,3))</f>
        <v>34305133.64756979</v>
      </c>
      <c r="J16" s="76">
        <f>(F16-1)*(VLOOKUP(B16,'FTE Allotment Factor'!$B$6:$H$63,7))</f>
        <v>34305133.64756979</v>
      </c>
      <c r="K16" s="273">
        <f>VLOOKUP(A16,'CEO Salary'!$G$7:$H$13,2)</f>
        <v>213653.64014246574</v>
      </c>
      <c r="L16" s="273">
        <f t="shared" si="6"/>
        <v>202138.56143347008</v>
      </c>
      <c r="N16" s="90">
        <f>VLOOKUP(B16,BLS!$B$5:$I$64,8, FALSE)</f>
        <v>0.94610399007797241</v>
      </c>
      <c r="O16" s="95">
        <f t="shared" si="7"/>
        <v>34507272.209003262</v>
      </c>
      <c r="Q16" s="92">
        <f>VLOOKUP(B16,'Program 10'!$A$7:$G$64,6)</f>
        <v>0.72594203374884136</v>
      </c>
      <c r="R16" s="9">
        <f>VLOOKUP(B16,'Program 10'!$A$7:$G$64,7)</f>
        <v>12891.063673212462</v>
      </c>
      <c r="S16" s="92">
        <f>VLOOKUP(B16,'Program 90'!$A$7:$G$64,6)</f>
        <v>0.72390505044227227</v>
      </c>
      <c r="T16" s="9">
        <f>VLOOKUP(B16,'Program 90'!$A$7:$G$64,7)</f>
        <v>12563.337149981089</v>
      </c>
      <c r="U16" s="77">
        <f>(D16*VLOOKUP(B16,'FTE Allotment Factor'!$B$7:$H$64,7,FALSE)*Q16)+(D16*R16)</f>
        <v>27903043.426281732</v>
      </c>
      <c r="V16" s="77">
        <f>((((E16-1)*VLOOKUP(B16,'FTE Allotment Factor'!$B$7:$H$64,7,FALSE))+(K16*N16))*S16)+(T16*E16)</f>
        <v>4204730.73574619</v>
      </c>
      <c r="W16" s="95">
        <f t="shared" si="3"/>
        <v>32107774.162027922</v>
      </c>
      <c r="Y16" s="95">
        <f>F16*(VLOOKUP(A16, 'OE&amp;E by Cluster'!$B$6:$C$9,2,FALSE))</f>
        <v>11106845.170135092</v>
      </c>
      <c r="AA16" s="273">
        <f>'AB1058'!E14</f>
        <v>2389075.4500000002</v>
      </c>
      <c r="AB16" s="95">
        <f t="shared" si="4"/>
        <v>75332816.091166273</v>
      </c>
      <c r="AC16" s="96">
        <f t="shared" si="1"/>
        <v>2.7352405894422043E-2</v>
      </c>
      <c r="AD16" s="58">
        <f t="shared" si="5"/>
        <v>136968.75652939323</v>
      </c>
    </row>
    <row r="17" spans="1:30" s="56" customFormat="1" ht="20.100000000000001" customHeight="1" x14ac:dyDescent="0.25">
      <c r="A17" s="69">
        <v>1</v>
      </c>
      <c r="B17" s="70" t="s">
        <v>9</v>
      </c>
      <c r="C17" s="88"/>
      <c r="D17" s="71">
        <f>RAS!M17</f>
        <v>18</v>
      </c>
      <c r="E17" s="71">
        <f>RAS!Q17</f>
        <v>6</v>
      </c>
      <c r="F17" s="72">
        <f t="shared" si="0"/>
        <v>24</v>
      </c>
      <c r="G17" s="88"/>
      <c r="H17" s="76">
        <f>(F17-1)*'AVG RAS salary'!$F$66</f>
        <v>1519062.8160333596</v>
      </c>
      <c r="I17" s="76">
        <f>(F17-1)*(VLOOKUP(B17,'FTE Allotment Factor'!$B$6:$D$63,3))</f>
        <v>1032497.0620926283</v>
      </c>
      <c r="J17" s="76">
        <f>(F17-1)*(VLOOKUP(B17,'FTE Allotment Factor'!$B$6:$H$63,7))</f>
        <v>1150456.9235412676</v>
      </c>
      <c r="K17" s="273">
        <f>VLOOKUP(A17,'CEO Salary'!$G$7:$H$13,2)</f>
        <v>127124.65839999999</v>
      </c>
      <c r="L17" s="273">
        <f t="shared" si="6"/>
        <v>86405.798978260602</v>
      </c>
      <c r="M17" s="88"/>
      <c r="N17" s="90">
        <f>VLOOKUP(B17,BLS!$B$5:$I$64,8, FALSE)</f>
        <v>0.67969346046447754</v>
      </c>
      <c r="O17" s="95">
        <f t="shared" si="7"/>
        <v>1236862.7225195281</v>
      </c>
      <c r="P17" s="88"/>
      <c r="Q17" s="92">
        <f>VLOOKUP(B17,'Program 10'!$A$7:$G$64,6)</f>
        <v>0.18319993529937545</v>
      </c>
      <c r="R17" s="9">
        <f>VLOOKUP(B17,'Program 10'!$A$7:$G$64,7)</f>
        <v>25828.276593155901</v>
      </c>
      <c r="S17" s="92">
        <f>VLOOKUP(B17,'Program 90'!$A$7:$G$64,6)</f>
        <v>0.18267478724643793</v>
      </c>
      <c r="T17" s="9">
        <f>VLOOKUP(B17,'Program 90'!$A$7:$G$64,7)</f>
        <v>27968.029371428576</v>
      </c>
      <c r="U17" s="77">
        <f>(D17*VLOOKUP(B17,'FTE Allotment Factor'!$B$7:$H$64,7,FALSE)*Q17)+(D17*R17)</f>
        <v>629854.43133918091</v>
      </c>
      <c r="V17" s="77">
        <f>((((E17-1)*VLOOKUP(B17,'FTE Allotment Factor'!$B$7:$H$64,7,FALSE))+(K17*N17))*S17)+(T17*E17)</f>
        <v>229279.17929206468</v>
      </c>
      <c r="W17" s="95">
        <f t="shared" si="3"/>
        <v>859133.61063124565</v>
      </c>
      <c r="X17" s="88"/>
      <c r="Y17" s="95">
        <f>F17*(VLOOKUP(A17, 'OE&amp;E by Cluster'!$B$6:$C$9,2,FALSE))</f>
        <v>708941.20399330603</v>
      </c>
      <c r="Z17" s="88"/>
      <c r="AA17" s="273">
        <f>'AB1058'!E15</f>
        <v>128136.38</v>
      </c>
      <c r="AB17" s="95">
        <f t="shared" si="4"/>
        <v>2676801.1571440799</v>
      </c>
      <c r="AC17" s="96">
        <f t="shared" si="1"/>
        <v>9.7191311234479517E-4</v>
      </c>
      <c r="AD17" s="58">
        <f t="shared" si="5"/>
        <v>111533.38154767</v>
      </c>
    </row>
    <row r="18" spans="1:30" s="56" customFormat="1" ht="20.100000000000001" customHeight="1" x14ac:dyDescent="0.25">
      <c r="A18" s="69">
        <v>2</v>
      </c>
      <c r="B18" s="70" t="s">
        <v>21</v>
      </c>
      <c r="D18" s="71">
        <f>RAS!M18</f>
        <v>79</v>
      </c>
      <c r="E18" s="71">
        <f>RAS!Q18</f>
        <v>15</v>
      </c>
      <c r="F18" s="72">
        <f t="shared" si="0"/>
        <v>94</v>
      </c>
      <c r="H18" s="76">
        <f>(F18-1)*'AVG RAS salary'!$F$66</f>
        <v>6142297.4735261938</v>
      </c>
      <c r="I18" s="76">
        <f>(F18-1)*(VLOOKUP(B18,'FTE Allotment Factor'!$B$6:$D$63,3))</f>
        <v>4444656.332594404</v>
      </c>
      <c r="J18" s="76">
        <f>(F18-1)*(VLOOKUP(B18,'FTE Allotment Factor'!$B$6:$H$63,7))</f>
        <v>4444656.332594404</v>
      </c>
      <c r="K18" s="273">
        <f>VLOOKUP(A18,'CEO Salary'!$G$7:$H$13,2)</f>
        <v>190157.45434750689</v>
      </c>
      <c r="L18" s="273">
        <f t="shared" si="6"/>
        <v>137600.71655573384</v>
      </c>
      <c r="N18" s="90">
        <f>VLOOKUP(B18,BLS!$B$5:$I$64,8, FALSE)</f>
        <v>0.72361463308334351</v>
      </c>
      <c r="O18" s="95">
        <f t="shared" si="7"/>
        <v>4582257.0491501382</v>
      </c>
      <c r="Q18" s="92">
        <f>VLOOKUP(B18,'Program 10'!$A$7:$G$64,6)</f>
        <v>0.33992471083931608</v>
      </c>
      <c r="R18" s="9">
        <f>VLOOKUP(B18,'Program 10'!$A$7:$G$64,7)</f>
        <v>13070.448163830992</v>
      </c>
      <c r="S18" s="92">
        <f>VLOOKUP(B18,'Program 90'!$A$7:$G$64,6)</f>
        <v>0.35276858498251246</v>
      </c>
      <c r="T18" s="9">
        <f>VLOOKUP(B18,'Program 90'!$A$7:$G$64,7)</f>
        <v>11754.197690605513</v>
      </c>
      <c r="U18" s="77">
        <f>(D18*VLOOKUP(B18,'FTE Allotment Factor'!$B$7:$H$64,7,FALSE)*Q18)+(D18*R18)</f>
        <v>2315974.361634538</v>
      </c>
      <c r="V18" s="77">
        <f>((((E18-1)*VLOOKUP(B18,'FTE Allotment Factor'!$B$7:$H$64,7,FALSE))+(K18*N18))*S18)+(T18*E18)</f>
        <v>460887.42008221662</v>
      </c>
      <c r="W18" s="95">
        <f t="shared" si="3"/>
        <v>2776861.7817167547</v>
      </c>
      <c r="Y18" s="95">
        <f>F18*(VLOOKUP(A18, 'OE&amp;E by Cluster'!$B$6:$C$9,2,FALSE))</f>
        <v>1898260.8108958157</v>
      </c>
      <c r="AA18" s="273">
        <f>'AB1058'!E16</f>
        <v>235742.51</v>
      </c>
      <c r="AB18" s="95">
        <f t="shared" si="4"/>
        <v>9021637.1317627095</v>
      </c>
      <c r="AC18" s="96">
        <f t="shared" si="1"/>
        <v>3.2756439154157579E-3</v>
      </c>
      <c r="AD18" s="58">
        <f t="shared" si="5"/>
        <v>95974.863103858617</v>
      </c>
    </row>
    <row r="19" spans="1:30" s="56" customFormat="1" ht="20.100000000000001" customHeight="1" x14ac:dyDescent="0.25">
      <c r="A19" s="69">
        <v>2</v>
      </c>
      <c r="B19" s="70" t="s">
        <v>22</v>
      </c>
      <c r="D19" s="71">
        <f>RAS!M19</f>
        <v>94</v>
      </c>
      <c r="E19" s="71">
        <f>RAS!Q19</f>
        <v>20</v>
      </c>
      <c r="F19" s="72">
        <f t="shared" si="0"/>
        <v>114</v>
      </c>
      <c r="H19" s="76">
        <f>(F19-1)*'AVG RAS salary'!$F$66</f>
        <v>7463221.6613812884</v>
      </c>
      <c r="I19" s="76">
        <f>(F19-1)*(VLOOKUP(B19,'FTE Allotment Factor'!$B$6:$D$63,3))</f>
        <v>5366778.6638068082</v>
      </c>
      <c r="J19" s="76">
        <f>(F19-1)*(VLOOKUP(B19,'FTE Allotment Factor'!$B$6:$H$63,7))</f>
        <v>5366778.6638068082</v>
      </c>
      <c r="K19" s="273">
        <f>VLOOKUP(A19,'CEO Salary'!$G$7:$H$13,2)</f>
        <v>190157.45434750689</v>
      </c>
      <c r="L19" s="273">
        <f t="shared" si="6"/>
        <v>136741.61308068899</v>
      </c>
      <c r="N19" s="90">
        <f>VLOOKUP(B19,BLS!$B$5:$I$64,8, FALSE)</f>
        <v>0.71909677982330322</v>
      </c>
      <c r="O19" s="95">
        <f t="shared" si="7"/>
        <v>5503520.2768874969</v>
      </c>
      <c r="Q19" s="92">
        <f>VLOOKUP(B19,'Program 10'!$A$7:$G$64,6)</f>
        <v>0.29728414071183823</v>
      </c>
      <c r="R19" s="9">
        <f>VLOOKUP(B19,'Program 10'!$A$7:$G$64,7)</f>
        <v>5030.65255357143</v>
      </c>
      <c r="S19" s="92">
        <f>VLOOKUP(B19,'Program 90'!$A$7:$G$64,6)</f>
        <v>0.30150115564929802</v>
      </c>
      <c r="T19" s="9">
        <f>VLOOKUP(B19,'Program 90'!$A$7:$G$64,7)</f>
        <v>6642.2213268608402</v>
      </c>
      <c r="U19" s="77">
        <f>(D19*VLOOKUP(B19,'FTE Allotment Factor'!$B$7:$H$64,7,FALSE)*Q19)+(D19*R19)</f>
        <v>1800076.643091297</v>
      </c>
      <c r="V19" s="77">
        <f>((((E19-1)*VLOOKUP(B19,'FTE Allotment Factor'!$B$7:$H$64,7,FALSE))+(K19*N19))*S19)+(T19*E19)</f>
        <v>446140.40582482918</v>
      </c>
      <c r="W19" s="95">
        <f t="shared" si="3"/>
        <v>2246217.0489161261</v>
      </c>
      <c r="Y19" s="95">
        <f>F19*(VLOOKUP(A19, 'OE&amp;E by Cluster'!$B$6:$C$9,2,FALSE))</f>
        <v>2302146.0898098191</v>
      </c>
      <c r="AA19" s="273">
        <f>'AB1058'!E17</f>
        <v>313190.40000000002</v>
      </c>
      <c r="AB19" s="95">
        <f t="shared" si="4"/>
        <v>9738693.0156134423</v>
      </c>
      <c r="AC19" s="96">
        <f t="shared" si="1"/>
        <v>3.5359979629842608E-3</v>
      </c>
      <c r="AD19" s="58">
        <f t="shared" si="5"/>
        <v>85427.131715907395</v>
      </c>
    </row>
    <row r="20" spans="1:30" s="56" customFormat="1" ht="20.100000000000001" customHeight="1" x14ac:dyDescent="0.25">
      <c r="A20" s="69">
        <v>1</v>
      </c>
      <c r="B20" s="70" t="s">
        <v>10</v>
      </c>
      <c r="D20" s="71">
        <f>RAS!M20</f>
        <v>16</v>
      </c>
      <c r="E20" s="71">
        <f>RAS!Q20</f>
        <v>6</v>
      </c>
      <c r="F20" s="72">
        <f t="shared" si="0"/>
        <v>22</v>
      </c>
      <c r="H20" s="76">
        <f>(F20-1)*'AVG RAS salary'!$F$66</f>
        <v>1386970.3972478502</v>
      </c>
      <c r="I20" s="76">
        <f>(F20-1)*(VLOOKUP(B20,'FTE Allotment Factor'!$B$6:$D$63,3))</f>
        <v>1090773.7319761291</v>
      </c>
      <c r="J20" s="76">
        <f>(F20-1)*(VLOOKUP(B20,'FTE Allotment Factor'!$B$6:$H$63,7))</f>
        <v>1090773.7319761291</v>
      </c>
      <c r="K20" s="273">
        <f>VLOOKUP(A20,'CEO Salary'!$G$7:$H$13,2)</f>
        <v>127124.65839999999</v>
      </c>
      <c r="L20" s="273">
        <f t="shared" si="6"/>
        <v>99976.350140066759</v>
      </c>
      <c r="N20" s="90">
        <f>VLOOKUP(B20,BLS!$B$5:$I$64,8, FALSE)</f>
        <v>0.78644341230392456</v>
      </c>
      <c r="O20" s="95">
        <f t="shared" si="7"/>
        <v>1190750.0821161959</v>
      </c>
      <c r="Q20" s="92">
        <f>VLOOKUP(B20,'Program 10'!$A$7:$G$64,6)</f>
        <v>0.19892936682156936</v>
      </c>
      <c r="R20" s="9">
        <f>VLOOKUP(B20,'Program 10'!$A$7:$G$64,7)</f>
        <v>14245.062732290709</v>
      </c>
      <c r="S20" s="92">
        <f>VLOOKUP(B20,'Program 90'!$A$7:$G$64,6)</f>
        <v>0.18672060864237214</v>
      </c>
      <c r="T20" s="9">
        <f>VLOOKUP(B20,'Program 90'!$A$7:$G$64,7)</f>
        <v>14163.029333333332</v>
      </c>
      <c r="U20" s="77">
        <f>(D20*VLOOKUP(B20,'FTE Allotment Factor'!$B$7:$H$64,7,FALSE)*Q20)+(D20*R20)</f>
        <v>393244.3773148316</v>
      </c>
      <c r="V20" s="77">
        <f>((((E20-1)*VLOOKUP(B20,'FTE Allotment Factor'!$B$7:$H$64,7,FALSE))+(K20*N20))*S20)+(T20*E20)</f>
        <v>152138.66264459008</v>
      </c>
      <c r="W20" s="95">
        <f t="shared" si="3"/>
        <v>545383.03995942161</v>
      </c>
      <c r="Y20" s="95">
        <f>F20*(VLOOKUP(A20, 'OE&amp;E by Cluster'!$B$6:$C$9,2,FALSE))</f>
        <v>649862.77032719727</v>
      </c>
      <c r="AA20" s="273">
        <f>'AB1058'!E18</f>
        <v>114643.67</v>
      </c>
      <c r="AB20" s="95">
        <f t="shared" si="4"/>
        <v>2271352.2224028148</v>
      </c>
      <c r="AC20" s="96">
        <f t="shared" si="1"/>
        <v>8.2469966131592056E-4</v>
      </c>
      <c r="AD20" s="58">
        <f t="shared" si="5"/>
        <v>103243.28283649158</v>
      </c>
    </row>
    <row r="21" spans="1:30" s="56" customFormat="1" ht="20.100000000000001" customHeight="1" x14ac:dyDescent="0.25">
      <c r="A21" s="69">
        <v>3</v>
      </c>
      <c r="B21" s="70" t="s">
        <v>43</v>
      </c>
      <c r="D21" s="71">
        <f>RAS!M21</f>
        <v>469</v>
      </c>
      <c r="E21" s="71">
        <f>RAS!Q21</f>
        <v>74</v>
      </c>
      <c r="F21" s="72">
        <f t="shared" si="0"/>
        <v>543</v>
      </c>
      <c r="H21" s="76">
        <f>(F21-1)*'AVG RAS salary'!$F$66</f>
        <v>35797045.490873083</v>
      </c>
      <c r="I21" s="76">
        <f>(F21-1)*(VLOOKUP(B21,'FTE Allotment Factor'!$B$6:$D$63,3))</f>
        <v>34339998.397008173</v>
      </c>
      <c r="J21" s="76">
        <f>(F21-1)*(VLOOKUP(B21,'FTE Allotment Factor'!$B$6:$H$63,7))</f>
        <v>34339998.397008173</v>
      </c>
      <c r="K21" s="273">
        <f>VLOOKUP(A21,'CEO Salary'!$G$7:$H$13,2)</f>
        <v>213653.64014246574</v>
      </c>
      <c r="L21" s="273">
        <f t="shared" si="6"/>
        <v>204957.29631871052</v>
      </c>
      <c r="N21" s="90">
        <f>VLOOKUP(B21,BLS!$B$5:$I$64,8, FALSE)</f>
        <v>0.95929700136184692</v>
      </c>
      <c r="O21" s="95">
        <f t="shared" si="7"/>
        <v>34544955.693326883</v>
      </c>
      <c r="Q21" s="92">
        <f>VLOOKUP(B21,'Program 10'!$A$7:$G$64,6)</f>
        <v>0.58444254585392141</v>
      </c>
      <c r="R21" s="9">
        <f>VLOOKUP(B21,'Program 10'!$A$7:$G$64,7)</f>
        <v>17261.798528675808</v>
      </c>
      <c r="S21" s="92">
        <f>VLOOKUP(B21,'Program 90'!$A$7:$G$64,6)</f>
        <v>0.58778394312735915</v>
      </c>
      <c r="T21" s="9">
        <f>VLOOKUP(B21,'Program 90'!$A$7:$G$64,7)</f>
        <v>17721.499760433748</v>
      </c>
      <c r="U21" s="77">
        <f>(D21*VLOOKUP(B21,'FTE Allotment Factor'!$B$7:$H$64,7,FALSE)*Q21)+(D21*R21)</f>
        <v>25462417.46781379</v>
      </c>
      <c r="V21" s="77">
        <f>((((E21-1)*VLOOKUP(B21,'FTE Allotment Factor'!$B$7:$H$64,7,FALSE))+(K21*N21))*S21)+(T21*E21)</f>
        <v>4150438.1131912456</v>
      </c>
      <c r="W21" s="95">
        <f t="shared" si="3"/>
        <v>29612855.581005037</v>
      </c>
      <c r="Y21" s="95">
        <f>F21*(VLOOKUP(A21, 'OE&amp;E by Cluster'!$B$6:$C$9,2,FALSE))</f>
        <v>10965485.322515192</v>
      </c>
      <c r="AA21" s="273">
        <f>'AB1058'!E19</f>
        <v>1454561.4100000001</v>
      </c>
      <c r="AB21" s="95">
        <f t="shared" si="4"/>
        <v>73668735.186847121</v>
      </c>
      <c r="AC21" s="96">
        <f t="shared" si="1"/>
        <v>2.6748198874190502E-2</v>
      </c>
      <c r="AD21" s="58">
        <f t="shared" si="5"/>
        <v>135669.86222255454</v>
      </c>
    </row>
    <row r="22" spans="1:30" s="56" customFormat="1" ht="20.100000000000001" customHeight="1" x14ac:dyDescent="0.25">
      <c r="A22" s="69">
        <v>2</v>
      </c>
      <c r="B22" s="70" t="s">
        <v>23</v>
      </c>
      <c r="D22" s="71">
        <f>RAS!M22</f>
        <v>96</v>
      </c>
      <c r="E22" s="71">
        <f>RAS!Q22</f>
        <v>19</v>
      </c>
      <c r="F22" s="72">
        <f t="shared" si="0"/>
        <v>115</v>
      </c>
      <c r="H22" s="76">
        <f>(F22-1)*'AVG RAS salary'!$F$66</f>
        <v>7529267.8707740437</v>
      </c>
      <c r="I22" s="76">
        <f>(F22-1)*(VLOOKUP(B22,'FTE Allotment Factor'!$B$6:$D$63,3))</f>
        <v>6550043.9235751405</v>
      </c>
      <c r="J22" s="76">
        <f>(F22-1)*(VLOOKUP(B22,'FTE Allotment Factor'!$B$6:$H$63,7))</f>
        <v>6550043.9235751405</v>
      </c>
      <c r="K22" s="273">
        <f>VLOOKUP(A22,'CEO Salary'!$G$7:$H$13,2)</f>
        <v>190157.45434750689</v>
      </c>
      <c r="L22" s="273">
        <f t="shared" si="6"/>
        <v>165426.39998321081</v>
      </c>
      <c r="N22" s="90">
        <f>VLOOKUP(B22,BLS!$B$5:$I$64,8, FALSE)</f>
        <v>0.86994433403015137</v>
      </c>
      <c r="O22" s="95">
        <f t="shared" si="7"/>
        <v>6715470.323558351</v>
      </c>
      <c r="Q22" s="92">
        <f>VLOOKUP(B22,'Program 10'!$A$7:$G$64,6)</f>
        <v>0.26588000000000001</v>
      </c>
      <c r="R22" s="9">
        <f>VLOOKUP(B22,'Program 10'!$A$7:$G$64,7)</f>
        <v>11090.520431924873</v>
      </c>
      <c r="S22" s="92">
        <f>VLOOKUP(B22,'Program 90'!$A$7:$G$64,6)</f>
        <v>0.26588000000000001</v>
      </c>
      <c r="T22" s="9">
        <f>VLOOKUP(B22,'Program 90'!$A$7:$G$64,7)</f>
        <v>12036.557190476191</v>
      </c>
      <c r="U22" s="77">
        <f>(D22*VLOOKUP(B22,'FTE Allotment Factor'!$B$7:$H$64,7,FALSE)*Q22)+(D22*R22)</f>
        <v>2531237.9011701844</v>
      </c>
      <c r="V22" s="77">
        <f>((((E22-1)*VLOOKUP(B22,'FTE Allotment Factor'!$B$7:$H$64,7,FALSE))+(K22*N22))*S22)+(T22*E22)</f>
        <v>547655.89654134563</v>
      </c>
      <c r="W22" s="95">
        <f t="shared" si="3"/>
        <v>3078893.7977115298</v>
      </c>
      <c r="Y22" s="95">
        <f>F22*(VLOOKUP(A22, 'OE&amp;E by Cluster'!$B$6:$C$9,2,FALSE))</f>
        <v>2322340.3537555193</v>
      </c>
      <c r="AA22" s="273">
        <f>'AB1058'!E20</f>
        <v>441009.75</v>
      </c>
      <c r="AB22" s="95">
        <f t="shared" si="4"/>
        <v>11675694.725025401</v>
      </c>
      <c r="AC22" s="96">
        <f t="shared" si="1"/>
        <v>4.2392991233963168E-3</v>
      </c>
      <c r="AD22" s="58">
        <f t="shared" si="5"/>
        <v>101527.78021761218</v>
      </c>
    </row>
    <row r="23" spans="1:30" s="56" customFormat="1" ht="20.100000000000001" customHeight="1" x14ac:dyDescent="0.25">
      <c r="A23" s="69">
        <v>2</v>
      </c>
      <c r="B23" s="70" t="s">
        <v>24</v>
      </c>
      <c r="D23" s="71">
        <f>RAS!M23</f>
        <v>49</v>
      </c>
      <c r="E23" s="71">
        <f>RAS!Q23</f>
        <v>10</v>
      </c>
      <c r="F23" s="72">
        <f t="shared" si="0"/>
        <v>59</v>
      </c>
      <c r="H23" s="76">
        <f>(F23-1)*'AVG RAS salary'!$F$66</f>
        <v>3830680.1447797767</v>
      </c>
      <c r="I23" s="76">
        <f>(F23-1)*(VLOOKUP(B23,'FTE Allotment Factor'!$B$6:$D$63,3))</f>
        <v>2882704.3878733069</v>
      </c>
      <c r="J23" s="76">
        <f>(F23-1)*(VLOOKUP(B23,'FTE Allotment Factor'!$B$6:$H$63,7))</f>
        <v>2882704.3878733069</v>
      </c>
      <c r="K23" s="273">
        <f>VLOOKUP(A23,'CEO Salary'!$G$7:$H$13,2)</f>
        <v>190157.45434750689</v>
      </c>
      <c r="L23" s="273">
        <f t="shared" si="6"/>
        <v>143099.3210908999</v>
      </c>
      <c r="N23" s="90">
        <f>VLOOKUP(B23,BLS!$B$5:$I$64,8, FALSE)</f>
        <v>0.75253069400787354</v>
      </c>
      <c r="O23" s="95">
        <f t="shared" si="7"/>
        <v>3025803.7089642067</v>
      </c>
      <c r="Q23" s="92">
        <f>VLOOKUP(B23,'Program 10'!$A$7:$G$64,6)</f>
        <v>0.30475000000000002</v>
      </c>
      <c r="R23" s="9">
        <f>VLOOKUP(B23,'Program 10'!$A$7:$G$64,7)</f>
        <v>10829.980000000003</v>
      </c>
      <c r="S23" s="92">
        <f>VLOOKUP(B23,'Program 90'!$A$7:$G$64,6)</f>
        <v>0.30475000000000002</v>
      </c>
      <c r="T23" s="9">
        <f>VLOOKUP(B23,'Program 90'!$A$7:$G$64,7)</f>
        <v>10829.979999999998</v>
      </c>
      <c r="U23" s="77">
        <f>(D23*VLOOKUP(B23,'FTE Allotment Factor'!$B$7:$H$64,7,FALSE)*Q23)+(D23*R23)</f>
        <v>1272853.5708278471</v>
      </c>
      <c r="V23" s="77">
        <f>((((E23-1)*VLOOKUP(B23,'FTE Allotment Factor'!$B$7:$H$64,7,FALSE))+(K23*N23))*S23)+(T23*E23)</f>
        <v>288228.92947899504</v>
      </c>
      <c r="W23" s="95">
        <f t="shared" si="3"/>
        <v>1561082.5003068422</v>
      </c>
      <c r="Y23" s="95">
        <f>F23*(VLOOKUP(A23, 'OE&amp;E by Cluster'!$B$6:$C$9,2,FALSE))</f>
        <v>1191461.5727963098</v>
      </c>
      <c r="AA23" s="273">
        <f>'AB1058'!E21</f>
        <v>285130.74</v>
      </c>
      <c r="AB23" s="95">
        <f t="shared" si="4"/>
        <v>5493217.0420673583</v>
      </c>
      <c r="AC23" s="96">
        <f t="shared" si="1"/>
        <v>1.9945185909278898E-3</v>
      </c>
      <c r="AD23" s="58">
        <f t="shared" si="5"/>
        <v>93105.373594361998</v>
      </c>
    </row>
    <row r="24" spans="1:30" s="56" customFormat="1" ht="20.100000000000001" customHeight="1" x14ac:dyDescent="0.25">
      <c r="A24" s="69">
        <v>1</v>
      </c>
      <c r="B24" s="70" t="s">
        <v>11</v>
      </c>
      <c r="D24" s="71">
        <f>RAS!M24</f>
        <v>18</v>
      </c>
      <c r="E24" s="71">
        <f>RAS!Q24</f>
        <v>5</v>
      </c>
      <c r="F24" s="72">
        <f t="shared" si="0"/>
        <v>23</v>
      </c>
      <c r="H24" s="76">
        <f>(F24-1)*'AVG RAS salary'!$F$66</f>
        <v>1453016.6066406048</v>
      </c>
      <c r="I24" s="76">
        <f>(F24-1)*(VLOOKUP(B24,'FTE Allotment Factor'!$B$6:$D$63,3))</f>
        <v>1128366.799962983</v>
      </c>
      <c r="J24" s="76">
        <f>(F24-1)*(VLOOKUP(B24,'FTE Allotment Factor'!$B$6:$H$63,7))</f>
        <v>1128366.799962983</v>
      </c>
      <c r="K24" s="273">
        <f>VLOOKUP(A24,'CEO Salary'!$G$7:$H$13,2)</f>
        <v>127124.65839999999</v>
      </c>
      <c r="L24" s="273">
        <f t="shared" si="6"/>
        <v>98720.99419898451</v>
      </c>
      <c r="N24" s="90">
        <f>VLOOKUP(B24,BLS!$B$5:$I$64,8, FALSE)</f>
        <v>0.77656841278076172</v>
      </c>
      <c r="O24" s="95">
        <f t="shared" si="7"/>
        <v>1227087.7941619675</v>
      </c>
      <c r="Q24" s="92">
        <f>VLOOKUP(B24,'Program 10'!$A$7:$G$64,6)</f>
        <v>0.17346</v>
      </c>
      <c r="R24" s="9">
        <f>VLOOKUP(B24,'Program 10'!$A$7:$G$64,7)</f>
        <v>11162.972</v>
      </c>
      <c r="S24" s="92">
        <f>VLOOKUP(B24,'Program 90'!$A$7:$G$64,6)</f>
        <v>0.17345999999999998</v>
      </c>
      <c r="T24" s="9">
        <f>VLOOKUP(B24,'Program 90'!$A$7:$G$64,7)</f>
        <v>7634.666666666667</v>
      </c>
      <c r="U24" s="77">
        <f>(D24*VLOOKUP(B24,'FTE Allotment Factor'!$B$7:$H$64,7,FALSE)*Q24)+(D24*R24)</f>
        <v>361073.36382674647</v>
      </c>
      <c r="V24" s="77">
        <f>((((E24-1)*VLOOKUP(B24,'FTE Allotment Factor'!$B$7:$H$64,7,FALSE))+(K24*N24))*S24)+(T24*E24)</f>
        <v>90884.114281921735</v>
      </c>
      <c r="W24" s="95">
        <f t="shared" si="3"/>
        <v>451957.47810866823</v>
      </c>
      <c r="Y24" s="95">
        <f>F24*(VLOOKUP(A24, 'OE&amp;E by Cluster'!$B$6:$C$9,2,FALSE))</f>
        <v>679401.98716025159</v>
      </c>
      <c r="AA24" s="273">
        <f>'AB1058'!E22</f>
        <v>95103.700000000012</v>
      </c>
      <c r="AB24" s="95">
        <f t="shared" si="4"/>
        <v>2263343.559430887</v>
      </c>
      <c r="AC24" s="96">
        <f t="shared" si="1"/>
        <v>8.2179181568308639E-4</v>
      </c>
      <c r="AD24" s="58">
        <f t="shared" si="5"/>
        <v>98406.241714386386</v>
      </c>
    </row>
    <row r="25" spans="1:30" s="56" customFormat="1" ht="20.100000000000001" customHeight="1" x14ac:dyDescent="0.25">
      <c r="A25" s="69">
        <v>4</v>
      </c>
      <c r="B25" s="70" t="s">
        <v>54</v>
      </c>
      <c r="D25" s="71">
        <f>RAS!M25</f>
        <v>4270</v>
      </c>
      <c r="E25" s="71">
        <f>RAS!Q25</f>
        <v>668</v>
      </c>
      <c r="F25" s="72">
        <f t="shared" si="0"/>
        <v>4938</v>
      </c>
      <c r="H25" s="76">
        <f>(F25-1)*'AVG RAS salary'!$F$66</f>
        <v>326070135.77203029</v>
      </c>
      <c r="I25" s="76">
        <f>(F25-1)*(VLOOKUP(B25,'FTE Allotment Factor'!$B$6:$D$63,3))</f>
        <v>458185282.49103564</v>
      </c>
      <c r="J25" s="76">
        <f>(F25-1)*(VLOOKUP(B25,'FTE Allotment Factor'!$B$6:$H$63,7))</f>
        <v>458185282.49103564</v>
      </c>
      <c r="K25" s="273">
        <f>VLOOKUP(A25,'CEO Salary'!$G$7:$H$13,2)</f>
        <v>265871.93483199994</v>
      </c>
      <c r="L25" s="273">
        <f t="shared" si="6"/>
        <v>373596.33466281858</v>
      </c>
      <c r="N25" s="90">
        <f>VLOOKUP(B25,BLS!$B$5:$I$64,8, FALSE)</f>
        <v>1.4051740169525146</v>
      </c>
      <c r="O25" s="95">
        <f t="shared" si="7"/>
        <v>458558878.82569844</v>
      </c>
      <c r="Q25" s="92">
        <f>VLOOKUP(B25,'Program 10'!$A$7:$G$64,6)</f>
        <v>0.27548141405841642</v>
      </c>
      <c r="R25" s="9">
        <f>VLOOKUP(B25,'Program 10'!$A$7:$G$64,7)</f>
        <v>28550.871911983835</v>
      </c>
      <c r="S25" s="92">
        <f>VLOOKUP(B25,'Program 90'!$A$7:$G$64,6)</f>
        <v>0.38114844226741618</v>
      </c>
      <c r="T25" s="9">
        <f>VLOOKUP(B25,'Program 90'!$A$7:$G$64,7)</f>
        <v>23616.111171938399</v>
      </c>
      <c r="U25" s="77">
        <f>(D25*VLOOKUP(B25,'FTE Allotment Factor'!$B$7:$H$64,7,FALSE)*Q25)+(D25*R25)</f>
        <v>231080935.04641038</v>
      </c>
      <c r="V25" s="77">
        <f>((((E25-1)*VLOOKUP(B25,'FTE Allotment Factor'!$B$7:$H$64,7,FALSE))+(K25*N25))*S25)+(T25*E25)</f>
        <v>39511763.202986866</v>
      </c>
      <c r="W25" s="95">
        <f t="shared" si="3"/>
        <v>270592698.24939728</v>
      </c>
      <c r="Y25" s="95">
        <f>F25*(VLOOKUP(A25, 'OE&amp;E by Cluster'!$B$6:$C$9,2,FALSE))</f>
        <v>99719275.363867432</v>
      </c>
      <c r="AA25" s="273">
        <f>'AB1058'!E23</f>
        <v>9190560.9100000001</v>
      </c>
      <c r="AB25" s="95">
        <f t="shared" si="4"/>
        <v>819680291.52896309</v>
      </c>
      <c r="AC25" s="96">
        <f t="shared" si="1"/>
        <v>0.2976156899594179</v>
      </c>
      <c r="AD25" s="58">
        <f t="shared" si="5"/>
        <v>165994.38872599497</v>
      </c>
    </row>
    <row r="26" spans="1:30" s="56" customFormat="1" ht="20.100000000000001" customHeight="1" x14ac:dyDescent="0.25">
      <c r="A26" s="69">
        <v>2</v>
      </c>
      <c r="B26" s="70" t="s">
        <v>25</v>
      </c>
      <c r="D26" s="71">
        <f>RAS!M26</f>
        <v>93</v>
      </c>
      <c r="E26" s="71">
        <f>RAS!Q26</f>
        <v>19</v>
      </c>
      <c r="F26" s="72">
        <f t="shared" si="0"/>
        <v>112</v>
      </c>
      <c r="H26" s="76">
        <f>(F26-1)*'AVG RAS salary'!$F$66</f>
        <v>7331129.2425957797</v>
      </c>
      <c r="I26" s="76">
        <f>(F26-1)*(VLOOKUP(B26,'FTE Allotment Factor'!$B$6:$D$63,3))</f>
        <v>6839841.9757318441</v>
      </c>
      <c r="J26" s="76">
        <f>(F26-1)*(VLOOKUP(B26,'FTE Allotment Factor'!$B$6:$H$63,7))</f>
        <v>6839841.9757318441</v>
      </c>
      <c r="K26" s="273">
        <f>VLOOKUP(A26,'CEO Salary'!$G$7:$H$13,2)</f>
        <v>190157.45434750689</v>
      </c>
      <c r="L26" s="273">
        <f t="shared" si="6"/>
        <v>177414.26937166657</v>
      </c>
      <c r="N26" s="90">
        <f>VLOOKUP(B26,BLS!$B$5:$I$64,8, FALSE)</f>
        <v>0.93298614025115967</v>
      </c>
      <c r="O26" s="95">
        <f t="shared" si="7"/>
        <v>7017256.245103511</v>
      </c>
      <c r="Q26" s="92">
        <f>VLOOKUP(B26,'Program 10'!$A$7:$G$64,6)</f>
        <v>0.3908899999999999</v>
      </c>
      <c r="R26" s="9">
        <f>VLOOKUP(B26,'Program 10'!$A$7:$G$64,7)</f>
        <v>12305.89024390244</v>
      </c>
      <c r="S26" s="92">
        <f>VLOOKUP(B26,'Program 90'!$A$7:$G$64,6)</f>
        <v>0.39088999999999996</v>
      </c>
      <c r="T26" s="9">
        <f>VLOOKUP(B26,'Program 90'!$A$7:$G$64,7)</f>
        <v>12380.692307692309</v>
      </c>
      <c r="U26" s="77">
        <f>(D26*VLOOKUP(B26,'FTE Allotment Factor'!$B$7:$H$64,7,FALSE)*Q26)+(D26*R26)</f>
        <v>3384512.6771885594</v>
      </c>
      <c r="V26" s="77">
        <f>((((E26-1)*VLOOKUP(B26,'FTE Allotment Factor'!$B$7:$H$64,7,FALSE))+(K26*N26))*S26)+(T26*E26)</f>
        <v>738143.56298903166</v>
      </c>
      <c r="W26" s="95">
        <f t="shared" si="3"/>
        <v>4122656.2401775913</v>
      </c>
      <c r="Y26" s="95">
        <f>F26*(VLOOKUP(A26, 'OE&amp;E by Cluster'!$B$6:$C$9,2,FALSE))</f>
        <v>2261757.5619184189</v>
      </c>
      <c r="AA26" s="273">
        <f>'AB1058'!E24</f>
        <v>391471.28</v>
      </c>
      <c r="AB26" s="95">
        <f t="shared" si="4"/>
        <v>13010198.767199522</v>
      </c>
      <c r="AC26" s="96">
        <f t="shared" si="1"/>
        <v>4.7238408958042355E-3</v>
      </c>
      <c r="AD26" s="58">
        <f t="shared" si="5"/>
        <v>116162.48899285287</v>
      </c>
    </row>
    <row r="27" spans="1:30" s="56" customFormat="1" ht="20.100000000000001" customHeight="1" x14ac:dyDescent="0.25">
      <c r="A27" s="69">
        <v>2</v>
      </c>
      <c r="B27" s="70" t="s">
        <v>26</v>
      </c>
      <c r="D27" s="71">
        <f>RAS!M27</f>
        <v>86</v>
      </c>
      <c r="E27" s="71">
        <f>RAS!Q27</f>
        <v>17</v>
      </c>
      <c r="F27" s="72">
        <f t="shared" si="0"/>
        <v>103</v>
      </c>
      <c r="H27" s="76">
        <f>(F27-1)*'AVG RAS salary'!$F$66</f>
        <v>6736713.3580609867</v>
      </c>
      <c r="I27" s="76">
        <f>(F27-1)*(VLOOKUP(B27,'FTE Allotment Factor'!$B$6:$D$63,3))</f>
        <v>8885777.1579530891</v>
      </c>
      <c r="J27" s="76">
        <f>(F27-1)*(VLOOKUP(B27,'FTE Allotment Factor'!$B$6:$H$63,7))</f>
        <v>8885777.1579530891</v>
      </c>
      <c r="K27" s="273">
        <f>VLOOKUP(A27,'CEO Salary'!$G$7:$H$13,2)</f>
        <v>190157.45434750689</v>
      </c>
      <c r="L27" s="273">
        <f t="shared" si="6"/>
        <v>250819.15682722858</v>
      </c>
      <c r="N27" s="90">
        <f>VLOOKUP(B27,BLS!$B$5:$I$64,8, FALSE)</f>
        <v>1.3190077543258667</v>
      </c>
      <c r="O27" s="95">
        <f t="shared" si="7"/>
        <v>9136596.3147803172</v>
      </c>
      <c r="Q27" s="92">
        <f>VLOOKUP(B27,'Program 10'!$A$7:$G$64,6)</f>
        <v>0.24991758080568319</v>
      </c>
      <c r="R27" s="9">
        <f>VLOOKUP(B27,'Program 10'!$A$7:$G$64,7)</f>
        <v>17469.699999999979</v>
      </c>
      <c r="S27" s="92">
        <f>VLOOKUP(B27,'Program 90'!$A$7:$G$64,6)</f>
        <v>0.25369931257613215</v>
      </c>
      <c r="T27" s="9">
        <f>VLOOKUP(B27,'Program 90'!$A$7:$G$64,7)</f>
        <v>17469.700000000004</v>
      </c>
      <c r="U27" s="77">
        <f>(D27*VLOOKUP(B27,'FTE Allotment Factor'!$B$7:$H$64,7,FALSE)*Q27)+(D27*R27)</f>
        <v>3374759.1613420276</v>
      </c>
      <c r="V27" s="77">
        <f>((((E27-1)*VLOOKUP(B27,'FTE Allotment Factor'!$B$7:$H$64,7,FALSE))+(K27*N27))*S27)+(T27*E27)</f>
        <v>714235.6742056238</v>
      </c>
      <c r="W27" s="95">
        <f t="shared" si="3"/>
        <v>4088994.8355476512</v>
      </c>
      <c r="Y27" s="95">
        <f>F27*(VLOOKUP(A27, 'OE&amp;E by Cluster'!$B$6:$C$9,2,FALSE))</f>
        <v>2080009.1864071172</v>
      </c>
      <c r="AA27" s="273">
        <f>'AB1058'!E25</f>
        <v>210780.24</v>
      </c>
      <c r="AB27" s="95">
        <f t="shared" si="4"/>
        <v>15094820.096735086</v>
      </c>
      <c r="AC27" s="96">
        <f t="shared" si="1"/>
        <v>5.4807408990196031E-3</v>
      </c>
      <c r="AD27" s="58">
        <f t="shared" si="5"/>
        <v>146551.6514246125</v>
      </c>
    </row>
    <row r="28" spans="1:30" s="56" customFormat="1" ht="20.100000000000001" customHeight="1" x14ac:dyDescent="0.25">
      <c r="A28" s="69">
        <v>1</v>
      </c>
      <c r="B28" s="70" t="s">
        <v>12</v>
      </c>
      <c r="D28" s="71">
        <f>RAS!M28</f>
        <v>11</v>
      </c>
      <c r="E28" s="71">
        <f>RAS!Q28</f>
        <v>4</v>
      </c>
      <c r="F28" s="72">
        <f t="shared" si="0"/>
        <v>15</v>
      </c>
      <c r="H28" s="76">
        <f>(F28-1)*'AVG RAS salary'!$F$66</f>
        <v>924646.93149856676</v>
      </c>
      <c r="I28" s="76">
        <f>(F28-1)*(VLOOKUP(B28,'FTE Allotment Factor'!$B$6:$D$63,3))</f>
        <v>822474.56811468978</v>
      </c>
      <c r="J28" s="76">
        <f>(F28-1)*(VLOOKUP(B28,'FTE Allotment Factor'!$B$6:$H$63,7))</f>
        <v>822474.56811468978</v>
      </c>
      <c r="K28" s="273">
        <f>VLOOKUP(A28,'CEO Salary'!$G$7:$H$13,2)</f>
        <v>127124.65839999999</v>
      </c>
      <c r="L28" s="273">
        <f t="shared" si="6"/>
        <v>113077.53797961911</v>
      </c>
      <c r="N28" s="90">
        <f>VLOOKUP(B28,BLS!$B$5:$I$64,8, FALSE)</f>
        <v>0.88950121402740479</v>
      </c>
      <c r="O28" s="95">
        <f t="shared" si="7"/>
        <v>935552.1060943089</v>
      </c>
      <c r="Q28" s="92">
        <f>VLOOKUP(B28,'Program 10'!$A$7:$G$64,6)</f>
        <v>0.31240999999999997</v>
      </c>
      <c r="R28" s="9">
        <f>VLOOKUP(B28,'Program 10'!$A$7:$G$64,7)</f>
        <v>12400.01538461539</v>
      </c>
      <c r="S28" s="92">
        <f>VLOOKUP(B28,'Program 90'!$A$7:$G$64,6)</f>
        <v>0.31241000000000008</v>
      </c>
      <c r="T28" s="9">
        <f>VLOOKUP(B28,'Program 90'!$A$7:$G$64,7)</f>
        <v>15320.748571428569</v>
      </c>
      <c r="U28" s="77">
        <f>(D28*VLOOKUP(B28,'FTE Allotment Factor'!$B$7:$H$64,7,FALSE)*Q28)+(D28*R28)</f>
        <v>338288.88909304165</v>
      </c>
      <c r="V28" s="77">
        <f>((((E28-1)*VLOOKUP(B28,'FTE Allotment Factor'!$B$7:$H$64,7,FALSE))+(K28*N28))*S28)+(T28*E28)</f>
        <v>151670.10788836499</v>
      </c>
      <c r="W28" s="95">
        <f t="shared" si="3"/>
        <v>489958.99698140664</v>
      </c>
      <c r="Y28" s="95">
        <f>F28*(VLOOKUP(A28, 'OE&amp;E by Cluster'!$B$6:$C$9,2,FALSE))</f>
        <v>443088.25249581627</v>
      </c>
      <c r="AA28" s="273">
        <f>'AB1058'!E26</f>
        <v>70042.91</v>
      </c>
      <c r="AB28" s="95">
        <f t="shared" si="4"/>
        <v>1798556.4455715318</v>
      </c>
      <c r="AC28" s="96">
        <f t="shared" si="1"/>
        <v>6.5303341194316829E-4</v>
      </c>
      <c r="AD28" s="58">
        <f t="shared" si="5"/>
        <v>119903.76303810212</v>
      </c>
    </row>
    <row r="29" spans="1:30" s="56" customFormat="1" ht="20.100000000000001" customHeight="1" x14ac:dyDescent="0.25">
      <c r="A29" s="69">
        <v>2</v>
      </c>
      <c r="B29" s="70" t="s">
        <v>27</v>
      </c>
      <c r="D29" s="71">
        <f>RAS!M29</f>
        <v>58</v>
      </c>
      <c r="E29" s="71">
        <f>RAS!Q29</f>
        <v>12</v>
      </c>
      <c r="F29" s="72">
        <f t="shared" si="0"/>
        <v>70</v>
      </c>
      <c r="H29" s="76">
        <f>(F29-1)*'AVG RAS salary'!$F$66</f>
        <v>4557188.4481000789</v>
      </c>
      <c r="I29" s="76">
        <f>(F29-1)*(VLOOKUP(B29,'FTE Allotment Factor'!$B$6:$D$63,3))</f>
        <v>3581056.7913018195</v>
      </c>
      <c r="J29" s="76">
        <f>(F29-1)*(VLOOKUP(B29,'FTE Allotment Factor'!$B$6:$H$63,7))</f>
        <v>3581056.7913018195</v>
      </c>
      <c r="K29" s="273">
        <f>VLOOKUP(A29,'CEO Salary'!$G$7:$H$13,2)</f>
        <v>190157.45434750689</v>
      </c>
      <c r="L29" s="273">
        <f t="shared" si="6"/>
        <v>149426.48325015037</v>
      </c>
      <c r="N29" s="90">
        <f>VLOOKUP(B29,BLS!$B$5:$I$64,8, FALSE)</f>
        <v>0.78580397367477417</v>
      </c>
      <c r="O29" s="95">
        <f t="shared" si="7"/>
        <v>3730483.27455197</v>
      </c>
      <c r="Q29" s="92">
        <f>VLOOKUP(B29,'Program 10'!$A$7:$G$64,6)</f>
        <v>0.43498670624064051</v>
      </c>
      <c r="R29" s="9">
        <f>VLOOKUP(B29,'Program 10'!$A$7:$G$64,7)</f>
        <v>15136.374022046413</v>
      </c>
      <c r="S29" s="92">
        <f>VLOOKUP(B29,'Program 90'!$A$7:$G$64,6)</f>
        <v>0.43249794342394499</v>
      </c>
      <c r="T29" s="9">
        <f>VLOOKUP(B29,'Program 90'!$A$7:$G$64,7)</f>
        <v>14787.291730141456</v>
      </c>
      <c r="U29" s="77">
        <f>(D29*VLOOKUP(B29,'FTE Allotment Factor'!$B$7:$H$64,7,FALSE)*Q29)+(D29*R29)</f>
        <v>2187290.8775326805</v>
      </c>
      <c r="V29" s="77">
        <f>((((E29-1)*VLOOKUP(B29,'FTE Allotment Factor'!$B$7:$H$64,7,FALSE))+(K29*N29))*S29)+(T29*E29)</f>
        <v>488984.24416692776</v>
      </c>
      <c r="W29" s="95">
        <f t="shared" si="3"/>
        <v>2676275.1216996084</v>
      </c>
      <c r="Y29" s="95">
        <f>F29*(VLOOKUP(A29, 'OE&amp;E by Cluster'!$B$6:$C$9,2,FALSE))</f>
        <v>1413598.4761990118</v>
      </c>
      <c r="AA29" s="273">
        <f>'AB1058'!E27</f>
        <v>282166.3</v>
      </c>
      <c r="AB29" s="95">
        <f t="shared" si="4"/>
        <v>7538190.5724505903</v>
      </c>
      <c r="AC29" s="96">
        <f t="shared" si="1"/>
        <v>2.737022972799132E-3</v>
      </c>
      <c r="AD29" s="58">
        <f t="shared" si="5"/>
        <v>107688.43674929415</v>
      </c>
    </row>
    <row r="30" spans="1:30" s="56" customFormat="1" ht="20.100000000000001" customHeight="1" x14ac:dyDescent="0.25">
      <c r="A30" s="69">
        <v>2</v>
      </c>
      <c r="B30" s="70" t="s">
        <v>28</v>
      </c>
      <c r="D30" s="71">
        <f>RAS!M30</f>
        <v>136</v>
      </c>
      <c r="E30" s="71">
        <f>RAS!Q30</f>
        <v>27</v>
      </c>
      <c r="F30" s="72">
        <f t="shared" si="0"/>
        <v>163</v>
      </c>
      <c r="H30" s="76">
        <f>(F30-1)*'AVG RAS salary'!$F$66</f>
        <v>10699485.921626272</v>
      </c>
      <c r="I30" s="76">
        <f>(F30-1)*(VLOOKUP(B30,'FTE Allotment Factor'!$B$6:$D$63,3))</f>
        <v>8879200.0841917749</v>
      </c>
      <c r="J30" s="76">
        <f>(F30-1)*(VLOOKUP(B30,'FTE Allotment Factor'!$B$6:$H$63,7))</f>
        <v>8879200.0841917749</v>
      </c>
      <c r="K30" s="273">
        <f>VLOOKUP(A30,'CEO Salary'!$G$7:$H$13,2)</f>
        <v>190157.45434750689</v>
      </c>
      <c r="L30" s="273">
        <f t="shared" si="6"/>
        <v>157806.28125687005</v>
      </c>
      <c r="N30" s="90">
        <f>VLOOKUP(B30,BLS!$B$5:$I$64,8, FALSE)</f>
        <v>0.82987165451049805</v>
      </c>
      <c r="O30" s="95">
        <f t="shared" si="7"/>
        <v>9037006.3654486444</v>
      </c>
      <c r="Q30" s="92">
        <f>VLOOKUP(B30,'Program 10'!$A$7:$G$64,6)</f>
        <v>0.55590945415334747</v>
      </c>
      <c r="R30" s="9">
        <f>VLOOKUP(B30,'Program 10'!$A$7:$G$64,7)</f>
        <v>12780.450075949357</v>
      </c>
      <c r="S30" s="92">
        <f>VLOOKUP(B30,'Program 90'!$A$7:$G$64,6)</f>
        <v>0.56308555435124186</v>
      </c>
      <c r="T30" s="9">
        <f>VLOOKUP(B30,'Program 90'!$A$7:$G$64,7)</f>
        <v>12907.869465648861</v>
      </c>
      <c r="U30" s="77">
        <f>(D30*VLOOKUP(B30,'FTE Allotment Factor'!$B$7:$H$64,7,FALSE)*Q30)+(D30*R30)</f>
        <v>5881969.9326038733</v>
      </c>
      <c r="V30" s="77">
        <f>((((E30-1)*VLOOKUP(B30,'FTE Allotment Factor'!$B$7:$H$64,7,FALSE))+(K30*N30))*S30)+(T30*E30)</f>
        <v>1239799.8131913785</v>
      </c>
      <c r="W30" s="95">
        <f t="shared" si="3"/>
        <v>7121769.7457952518</v>
      </c>
      <c r="Y30" s="95">
        <f>F30*(VLOOKUP(A30, 'OE&amp;E by Cluster'!$B$6:$C$9,2,FALSE))</f>
        <v>3291665.0231491271</v>
      </c>
      <c r="AA30" s="273">
        <f>'AB1058'!E28</f>
        <v>758245.01</v>
      </c>
      <c r="AB30" s="95">
        <f t="shared" si="4"/>
        <v>18692196.12439302</v>
      </c>
      <c r="AC30" s="96">
        <f t="shared" si="1"/>
        <v>6.7869032644923806E-3</v>
      </c>
      <c r="AD30" s="58">
        <f t="shared" si="5"/>
        <v>114676.04984290196</v>
      </c>
    </row>
    <row r="31" spans="1:30" s="56" customFormat="1" ht="20.100000000000001" customHeight="1" x14ac:dyDescent="0.25">
      <c r="A31" s="69">
        <v>1</v>
      </c>
      <c r="B31" s="70" t="s">
        <v>13</v>
      </c>
      <c r="D31" s="71">
        <f>RAS!M31</f>
        <v>8</v>
      </c>
      <c r="E31" s="71">
        <f>RAS!Q31</f>
        <v>3</v>
      </c>
      <c r="F31" s="72">
        <f t="shared" si="0"/>
        <v>11</v>
      </c>
      <c r="H31" s="76">
        <f>(F31-1)*'AVG RAS salary'!$F$66</f>
        <v>660462.09392754768</v>
      </c>
      <c r="I31" s="76">
        <f>(F31-1)*(VLOOKUP(B31,'FTE Allotment Factor'!$B$6:$D$63,3))</f>
        <v>374619.29940631497</v>
      </c>
      <c r="J31" s="76">
        <f>(F31-1)*(VLOOKUP(B31,'FTE Allotment Factor'!$B$6:$H$63,7))</f>
        <v>500198.66240924678</v>
      </c>
      <c r="K31" s="273">
        <f>VLOOKUP(A31,'CEO Salary'!$G$7:$H$13,2)</f>
        <v>127124.65839999999</v>
      </c>
      <c r="L31" s="273">
        <f t="shared" si="6"/>
        <v>72106.107080082264</v>
      </c>
      <c r="N31" s="90">
        <f>VLOOKUP(B31,BLS!$B$5:$I$64,8, FALSE)</f>
        <v>0.56720787286758423</v>
      </c>
      <c r="O31" s="95">
        <f t="shared" si="7"/>
        <v>572304.76948932908</v>
      </c>
      <c r="Q31" s="92">
        <f>VLOOKUP(B31,'Program 10'!$A$7:$G$64,6)</f>
        <v>0.35690000000000011</v>
      </c>
      <c r="R31" s="9">
        <f>VLOOKUP(B31,'Program 10'!$A$7:$G$64,7)</f>
        <v>17280.320000000003</v>
      </c>
      <c r="S31" s="92">
        <f>VLOOKUP(B31,'Program 90'!$A$7:$G$64,6)</f>
        <v>0.35690000000000011</v>
      </c>
      <c r="T31" s="9">
        <f>VLOOKUP(B31,'Program 90'!$A$7:$G$64,7)</f>
        <v>17280.32</v>
      </c>
      <c r="U31" s="77">
        <f>(D31*VLOOKUP(B31,'FTE Allotment Factor'!$B$7:$H$64,7,FALSE)*Q31)+(D31*R31)</f>
        <v>281059.28209108824</v>
      </c>
      <c r="V31" s="77">
        <f>((((E31-1)*VLOOKUP(B31,'FTE Allotment Factor'!$B$7:$H$64,7,FALSE))+(K31*N31))*S31)+(T31*E31)</f>
        <v>113279.81013965342</v>
      </c>
      <c r="W31" s="95">
        <f t="shared" si="3"/>
        <v>394339.09223074163</v>
      </c>
      <c r="Y31" s="95">
        <f>F31*(VLOOKUP(A31, 'OE&amp;E by Cluster'!$B$6:$C$9,2,FALSE))</f>
        <v>324931.38516359864</v>
      </c>
      <c r="AA31" s="273">
        <f>'AB1058'!E29</f>
        <v>71764</v>
      </c>
      <c r="AB31" s="95">
        <f t="shared" si="4"/>
        <v>1219811.2468836694</v>
      </c>
      <c r="AC31" s="96">
        <f t="shared" si="1"/>
        <v>4.428982490043356E-4</v>
      </c>
      <c r="AD31" s="58">
        <f t="shared" si="5"/>
        <v>110891.93153487904</v>
      </c>
    </row>
    <row r="32" spans="1:30" s="56" customFormat="1" ht="20.100000000000001" customHeight="1" x14ac:dyDescent="0.25">
      <c r="A32" s="69">
        <v>1</v>
      </c>
      <c r="B32" s="70" t="s">
        <v>14</v>
      </c>
      <c r="D32" s="71">
        <f>RAS!M32</f>
        <v>11</v>
      </c>
      <c r="E32" s="71">
        <f>RAS!Q32</f>
        <v>4</v>
      </c>
      <c r="F32" s="72">
        <f t="shared" si="0"/>
        <v>15</v>
      </c>
      <c r="H32" s="76">
        <f>(F32-1)*'AVG RAS salary'!$F$66</f>
        <v>924646.93149856676</v>
      </c>
      <c r="I32" s="76">
        <f>(F32-1)*(VLOOKUP(B32,'FTE Allotment Factor'!$B$6:$D$63,3))</f>
        <v>846478.15293886047</v>
      </c>
      <c r="J32" s="76">
        <f>(F32-1)*(VLOOKUP(B32,'FTE Allotment Factor'!$B$6:$H$63,7))</f>
        <v>846478.15293886047</v>
      </c>
      <c r="K32" s="273">
        <f>VLOOKUP(A32,'CEO Salary'!$G$7:$H$13,2)</f>
        <v>127124.65839999999</v>
      </c>
      <c r="L32" s="273">
        <f t="shared" si="6"/>
        <v>116377.65980687989</v>
      </c>
      <c r="N32" s="90">
        <f>VLOOKUP(B32,BLS!$B$5:$I$64,8, FALSE)</f>
        <v>0.91546094417572021</v>
      </c>
      <c r="O32" s="95">
        <f t="shared" si="7"/>
        <v>962855.8127457404</v>
      </c>
      <c r="Q32" s="92">
        <f>VLOOKUP(B32,'Program 10'!$A$7:$G$64,6)</f>
        <v>0.34697387687481118</v>
      </c>
      <c r="R32" s="9">
        <f>VLOOKUP(B32,'Program 10'!$A$7:$G$64,7)</f>
        <v>19586.39256198347</v>
      </c>
      <c r="S32" s="92">
        <f>VLOOKUP(B32,'Program 90'!$A$7:$G$64,6)</f>
        <v>0.33513065907456291</v>
      </c>
      <c r="T32" s="9">
        <f>VLOOKUP(B32,'Program 90'!$A$7:$G$64,7)</f>
        <v>23854.104999999996</v>
      </c>
      <c r="U32" s="77">
        <f>(D32*VLOOKUP(B32,'FTE Allotment Factor'!$B$7:$H$64,7,FALSE)*Q32)+(D32*R32)</f>
        <v>446219.16607933841</v>
      </c>
      <c r="V32" s="77">
        <f>((((E32-1)*VLOOKUP(B32,'FTE Allotment Factor'!$B$7:$H$64,7,FALSE))+(K32*N32))*S32)+(T32*E32)</f>
        <v>195206.88067976755</v>
      </c>
      <c r="W32" s="95">
        <f t="shared" si="3"/>
        <v>641426.04675910599</v>
      </c>
      <c r="Y32" s="95">
        <f>F32*(VLOOKUP(A32, 'OE&amp;E by Cluster'!$B$6:$C$9,2,FALSE))</f>
        <v>443088.25249581627</v>
      </c>
      <c r="AA32" s="273">
        <f>'AB1058'!E30</f>
        <v>73201.42</v>
      </c>
      <c r="AB32" s="95">
        <f t="shared" si="4"/>
        <v>1974168.6920006627</v>
      </c>
      <c r="AC32" s="96">
        <f t="shared" si="1"/>
        <v>7.1679602820522148E-4</v>
      </c>
      <c r="AD32" s="58">
        <f t="shared" si="5"/>
        <v>131611.24613337751</v>
      </c>
    </row>
    <row r="33" spans="1:30" s="56" customFormat="1" ht="20.100000000000001" customHeight="1" x14ac:dyDescent="0.25">
      <c r="A33" s="69">
        <v>3</v>
      </c>
      <c r="B33" s="70" t="s">
        <v>44</v>
      </c>
      <c r="D33" s="71">
        <f>RAS!M33</f>
        <v>184</v>
      </c>
      <c r="E33" s="71">
        <f>RAS!Q33</f>
        <v>29</v>
      </c>
      <c r="F33" s="72">
        <f t="shared" si="0"/>
        <v>213</v>
      </c>
      <c r="H33" s="76">
        <f>(F33-1)*'AVG RAS salary'!$F$66</f>
        <v>14001796.39126401</v>
      </c>
      <c r="I33" s="76">
        <f>(F33-1)*(VLOOKUP(B33,'FTE Allotment Factor'!$B$6:$D$63,3))</f>
        <v>16211180.810782682</v>
      </c>
      <c r="J33" s="76">
        <f>(F33-1)*(VLOOKUP(B33,'FTE Allotment Factor'!$B$6:$H$63,7))</f>
        <v>16211180.810782682</v>
      </c>
      <c r="K33" s="273">
        <f>VLOOKUP(A33,'CEO Salary'!$G$7:$H$13,2)</f>
        <v>213653.64014246574</v>
      </c>
      <c r="L33" s="273">
        <f t="shared" si="6"/>
        <v>247366.67313577008</v>
      </c>
      <c r="N33" s="90">
        <f>VLOOKUP(B33,BLS!$B$5:$I$64,8, FALSE)</f>
        <v>1.1577929258346558</v>
      </c>
      <c r="O33" s="95">
        <f t="shared" si="7"/>
        <v>16458547.483918453</v>
      </c>
      <c r="Q33" s="92">
        <f>VLOOKUP(B33,'Program 10'!$A$7:$G$64,6)</f>
        <v>0.17690686442621126</v>
      </c>
      <c r="R33" s="9">
        <f>VLOOKUP(B33,'Program 10'!$A$7:$G$64,7)</f>
        <v>22031.204730290472</v>
      </c>
      <c r="S33" s="92">
        <f>VLOOKUP(B33,'Program 90'!$A$7:$G$64,6)</f>
        <v>0.17358457095935872</v>
      </c>
      <c r="T33" s="9">
        <f>VLOOKUP(B33,'Program 90'!$A$7:$G$64,7)</f>
        <v>24139.327777777777</v>
      </c>
      <c r="U33" s="77">
        <f>(D33*VLOOKUP(B33,'FTE Allotment Factor'!$B$7:$H$64,7,FALSE)*Q33)+(D33*R33)</f>
        <v>6542835.6634030454</v>
      </c>
      <c r="V33" s="77">
        <f>((((E33-1)*VLOOKUP(B33,'FTE Allotment Factor'!$B$7:$H$64,7,FALSE))+(K33*N33))*S33)+(T33*E33)</f>
        <v>1114641.3558435496</v>
      </c>
      <c r="W33" s="95">
        <f t="shared" si="3"/>
        <v>7657477.019246595</v>
      </c>
      <c r="Y33" s="95">
        <f>F33*(VLOOKUP(A33, 'OE&amp;E by Cluster'!$B$6:$C$9,2,FALSE))</f>
        <v>4301378.2204341358</v>
      </c>
      <c r="AA33" s="273">
        <f>'AB1058'!E31</f>
        <v>559769.87</v>
      </c>
      <c r="AB33" s="95">
        <f t="shared" si="4"/>
        <v>27857632.853599183</v>
      </c>
      <c r="AC33" s="96">
        <f t="shared" si="1"/>
        <v>1.0114759020123536E-2</v>
      </c>
      <c r="AD33" s="58">
        <f t="shared" si="5"/>
        <v>130787.00870234358</v>
      </c>
    </row>
    <row r="34" spans="1:30" s="56" customFormat="1" ht="20.100000000000001" customHeight="1" x14ac:dyDescent="0.25">
      <c r="A34" s="69">
        <v>2</v>
      </c>
      <c r="B34" s="70" t="s">
        <v>29</v>
      </c>
      <c r="D34" s="71">
        <f>RAS!M34</f>
        <v>60</v>
      </c>
      <c r="E34" s="71">
        <f>RAS!Q34</f>
        <v>12</v>
      </c>
      <c r="F34" s="72">
        <f t="shared" si="0"/>
        <v>72</v>
      </c>
      <c r="H34" s="76">
        <f>(F34-1)*'AVG RAS salary'!$F$66</f>
        <v>4689280.8668855885</v>
      </c>
      <c r="I34" s="76">
        <f>(F34-1)*(VLOOKUP(B34,'FTE Allotment Factor'!$B$6:$D$63,3))</f>
        <v>5914233.1605212819</v>
      </c>
      <c r="J34" s="76">
        <f>(F34-1)*(VLOOKUP(B34,'FTE Allotment Factor'!$B$6:$H$63,7))</f>
        <v>5914233.1605212819</v>
      </c>
      <c r="K34" s="273">
        <f>VLOOKUP(A34,'CEO Salary'!$G$7:$H$13,2)</f>
        <v>190157.45434750689</v>
      </c>
      <c r="L34" s="273">
        <f t="shared" si="6"/>
        <v>239831.12851358589</v>
      </c>
      <c r="N34" s="90">
        <f>VLOOKUP(B34,BLS!$B$5:$I$64,8, FALSE)</f>
        <v>1.2612239122390747</v>
      </c>
      <c r="O34" s="95">
        <f t="shared" si="7"/>
        <v>6154064.2890348677</v>
      </c>
      <c r="Q34" s="92">
        <f>VLOOKUP(B34,'Program 10'!$A$7:$G$64,6)</f>
        <v>0.25402675331253988</v>
      </c>
      <c r="R34" s="9">
        <f>VLOOKUP(B34,'Program 10'!$A$7:$G$64,7)</f>
        <v>22098.775599128541</v>
      </c>
      <c r="S34" s="92">
        <f>VLOOKUP(B34,'Program 90'!$A$7:$G$64,6)</f>
        <v>0.26249999999999996</v>
      </c>
      <c r="T34" s="9">
        <f>VLOOKUP(B34,'Program 90'!$A$7:$G$64,7)</f>
        <v>23715.200000000001</v>
      </c>
      <c r="U34" s="77">
        <f>(D34*VLOOKUP(B34,'FTE Allotment Factor'!$B$7:$H$64,7,FALSE)*Q34)+(D34*R34)</f>
        <v>2595537.900539754</v>
      </c>
      <c r="V34" s="77">
        <f>((((E34-1)*VLOOKUP(B34,'FTE Allotment Factor'!$B$7:$H$64,7,FALSE))+(K34*N34))*S34)+(T34*E34)</f>
        <v>588064.10293911491</v>
      </c>
      <c r="W34" s="95">
        <f t="shared" si="3"/>
        <v>3183602.0034788689</v>
      </c>
      <c r="Y34" s="95">
        <f>F34*(VLOOKUP(A34, 'OE&amp;E by Cluster'!$B$6:$C$9,2,FALSE))</f>
        <v>1453987.0040904121</v>
      </c>
      <c r="AA34" s="273">
        <f>'AB1058'!E32</f>
        <v>189387.01</v>
      </c>
      <c r="AB34" s="95">
        <f t="shared" si="4"/>
        <v>10602266.286604147</v>
      </c>
      <c r="AC34" s="96">
        <f t="shared" si="1"/>
        <v>3.8495506463079011E-3</v>
      </c>
      <c r="AD34" s="58">
        <f t="shared" si="5"/>
        <v>147253.69842505761</v>
      </c>
    </row>
    <row r="35" spans="1:30" s="56" customFormat="1" ht="20.100000000000001" customHeight="1" x14ac:dyDescent="0.25">
      <c r="A35" s="69">
        <v>2</v>
      </c>
      <c r="B35" s="70" t="s">
        <v>30</v>
      </c>
      <c r="D35" s="71">
        <f>RAS!M35</f>
        <v>45</v>
      </c>
      <c r="E35" s="71">
        <f>RAS!Q35</f>
        <v>10</v>
      </c>
      <c r="F35" s="72">
        <f t="shared" si="0"/>
        <v>55</v>
      </c>
      <c r="H35" s="76">
        <f>(F35-1)*'AVG RAS salary'!$F$66</f>
        <v>3566495.3072087574</v>
      </c>
      <c r="I35" s="76">
        <f>(F35-1)*(VLOOKUP(B35,'FTE Allotment Factor'!$B$6:$D$63,3))</f>
        <v>3792389.2839740245</v>
      </c>
      <c r="J35" s="76">
        <f>(F35-1)*(VLOOKUP(B35,'FTE Allotment Factor'!$B$6:$H$63,7))</f>
        <v>3792389.2839740245</v>
      </c>
      <c r="K35" s="273">
        <f>VLOOKUP(A35,'CEO Salary'!$G$7:$H$13,2)</f>
        <v>190157.45434750689</v>
      </c>
      <c r="L35" s="273">
        <f t="shared" si="6"/>
        <v>202201.60970845592</v>
      </c>
      <c r="N35" s="90">
        <f>VLOOKUP(B35,BLS!$B$5:$I$64,8, FALSE)</f>
        <v>1.0633378028869629</v>
      </c>
      <c r="O35" s="95">
        <f t="shared" si="7"/>
        <v>3994590.8936824803</v>
      </c>
      <c r="Q35" s="92">
        <f>VLOOKUP(B35,'Program 10'!$A$7:$G$64,6)</f>
        <v>0.43718402062221878</v>
      </c>
      <c r="R35" s="9">
        <f>VLOOKUP(B35,'Program 10'!$A$7:$G$64,7)</f>
        <v>12775.891476244344</v>
      </c>
      <c r="S35" s="92">
        <f>VLOOKUP(B35,'Program 90'!$A$7:$G$64,6)</f>
        <v>0.45841000000000004</v>
      </c>
      <c r="T35" s="9">
        <f>VLOOKUP(B35,'Program 90'!$A$7:$G$64,7)</f>
        <v>14645.653025210086</v>
      </c>
      <c r="U35" s="77">
        <f>(D35*VLOOKUP(B35,'FTE Allotment Factor'!$B$7:$H$64,7,FALSE)*Q35)+(D35*R35)</f>
        <v>1956558.4455413134</v>
      </c>
      <c r="V35" s="77">
        <f>((((E35-1)*VLOOKUP(B35,'FTE Allotment Factor'!$B$7:$H$64,7,FALSE))+(K35*N35))*S35)+(T35*E35)</f>
        <v>528892.6321029762</v>
      </c>
      <c r="W35" s="95">
        <f t="shared" si="3"/>
        <v>2485451.0776442895</v>
      </c>
      <c r="Y35" s="95">
        <f>F35*(VLOOKUP(A35, 'OE&amp;E by Cluster'!$B$6:$C$9,2,FALSE))</f>
        <v>1110684.5170135093</v>
      </c>
      <c r="AA35" s="273">
        <f>'AB1058'!E33</f>
        <v>318544.59999999998</v>
      </c>
      <c r="AB35" s="95">
        <f t="shared" si="4"/>
        <v>7272181.8883402795</v>
      </c>
      <c r="AC35" s="96">
        <f t="shared" si="1"/>
        <v>2.6404385375322879E-3</v>
      </c>
      <c r="AD35" s="58">
        <f t="shared" si="5"/>
        <v>132221.48887891418</v>
      </c>
    </row>
    <row r="36" spans="1:30" s="56" customFormat="1" ht="20.100000000000001" customHeight="1" x14ac:dyDescent="0.25">
      <c r="A36" s="69">
        <v>4</v>
      </c>
      <c r="B36" s="70" t="s">
        <v>55</v>
      </c>
      <c r="D36" s="71">
        <f>RAS!M36</f>
        <v>1206</v>
      </c>
      <c r="E36" s="71">
        <f>RAS!Q36</f>
        <v>195</v>
      </c>
      <c r="F36" s="72">
        <f t="shared" si="0"/>
        <v>1401</v>
      </c>
      <c r="H36" s="76">
        <f>(F36-1)*'AVG RAS salary'!$F$66</f>
        <v>92464693.149856672</v>
      </c>
      <c r="I36" s="76">
        <f>(F36-1)*(VLOOKUP(B36,'FTE Allotment Factor'!$B$6:$D$63,3))</f>
        <v>117053900.36600931</v>
      </c>
      <c r="J36" s="76">
        <f>(F36-1)*(VLOOKUP(B36,'FTE Allotment Factor'!$B$6:$H$63,7))</f>
        <v>117053900.36600931</v>
      </c>
      <c r="K36" s="273">
        <f>VLOOKUP(A36,'CEO Salary'!$G$7:$H$13,2)</f>
        <v>265871.93483199994</v>
      </c>
      <c r="L36" s="273">
        <f t="shared" si="6"/>
        <v>336575.46366919705</v>
      </c>
      <c r="N36" s="90">
        <f>VLOOKUP(B36,BLS!$B$5:$I$64,8, FALSE)</f>
        <v>1.2659307718276978</v>
      </c>
      <c r="O36" s="95">
        <f t="shared" si="7"/>
        <v>117390475.82967851</v>
      </c>
      <c r="Q36" s="92">
        <f>VLOOKUP(B36,'Program 10'!$A$7:$G$64,6)</f>
        <v>0.38420867351645682</v>
      </c>
      <c r="R36" s="9">
        <f>VLOOKUP(B36,'Program 10'!$A$7:$G$64,7)</f>
        <v>12667.838960651785</v>
      </c>
      <c r="S36" s="92">
        <f>VLOOKUP(B36,'Program 90'!$A$7:$G$64,6)</f>
        <v>0.38842467850169798</v>
      </c>
      <c r="T36" s="9">
        <f>VLOOKUP(B36,'Program 90'!$A$7:$G$64,7)</f>
        <v>13251.96099687256</v>
      </c>
      <c r="U36" s="77">
        <f>(D36*VLOOKUP(B36,'FTE Allotment Factor'!$B$7:$H$64,7,FALSE)*Q36)+(D36*R36)</f>
        <v>54018547.565260075</v>
      </c>
      <c r="V36" s="77">
        <f>((((E36-1)*VLOOKUP(B36,'FTE Allotment Factor'!$B$7:$H$64,7,FALSE))+(K36*N36))*S36)+(T36*E36)</f>
        <v>9015241.5975896809</v>
      </c>
      <c r="W36" s="95">
        <f t="shared" si="3"/>
        <v>63033789.162849754</v>
      </c>
      <c r="Y36" s="95">
        <f>F36*(VLOOKUP(A36, 'OE&amp;E by Cluster'!$B$6:$C$9,2,FALSE))</f>
        <v>28292163.787925936</v>
      </c>
      <c r="AA36" s="273">
        <f>'AB1058'!E34</f>
        <v>2621081.8600000003</v>
      </c>
      <c r="AB36" s="95">
        <f t="shared" si="4"/>
        <v>206095346.92045417</v>
      </c>
      <c r="AC36" s="96">
        <f t="shared" si="1"/>
        <v>7.4830649833904458E-2</v>
      </c>
      <c r="AD36" s="58">
        <f t="shared" si="5"/>
        <v>147105.88645285807</v>
      </c>
    </row>
    <row r="37" spans="1:30" s="56" customFormat="1" ht="20.100000000000001" customHeight="1" x14ac:dyDescent="0.25">
      <c r="A37" s="69">
        <v>2</v>
      </c>
      <c r="B37" s="70" t="s">
        <v>31</v>
      </c>
      <c r="D37" s="71">
        <f>RAS!M37</f>
        <v>144</v>
      </c>
      <c r="E37" s="71">
        <f>RAS!Q37</f>
        <v>28</v>
      </c>
      <c r="F37" s="72">
        <f t="shared" si="0"/>
        <v>172</v>
      </c>
      <c r="H37" s="76">
        <f>(F37-1)*'AVG RAS salary'!$F$66</f>
        <v>11293901.806161065</v>
      </c>
      <c r="I37" s="76">
        <f>(F37-1)*(VLOOKUP(B37,'FTE Allotment Factor'!$B$6:$D$63,3))</f>
        <v>13718762.923898211</v>
      </c>
      <c r="J37" s="76">
        <f>(F37-1)*(VLOOKUP(B37,'FTE Allotment Factor'!$B$6:$H$63,7))</f>
        <v>13718762.923898211</v>
      </c>
      <c r="K37" s="273">
        <f>VLOOKUP(A37,'CEO Salary'!$G$7:$H$13,2)</f>
        <v>190157.45434750689</v>
      </c>
      <c r="L37" s="273">
        <f t="shared" si="6"/>
        <v>230985.27676080281</v>
      </c>
      <c r="N37" s="90">
        <f>VLOOKUP(B37,BLS!$B$5:$I$64,8, FALSE)</f>
        <v>1.2147053480148315</v>
      </c>
      <c r="O37" s="95">
        <f t="shared" si="7"/>
        <v>13949748.200659014</v>
      </c>
      <c r="Q37" s="92">
        <f>VLOOKUP(B37,'Program 10'!$A$7:$G$64,6)</f>
        <v>0.35357600136830186</v>
      </c>
      <c r="R37" s="9">
        <f>VLOOKUP(B37,'Program 10'!$A$7:$G$64,7)</f>
        <v>22656.75079365079</v>
      </c>
      <c r="S37" s="92">
        <f>VLOOKUP(B37,'Program 90'!$A$7:$G$64,6)</f>
        <v>0.35990143003232145</v>
      </c>
      <c r="T37" s="9">
        <f>VLOOKUP(B37,'Program 90'!$A$7:$G$64,7)</f>
        <v>22939.577644710575</v>
      </c>
      <c r="U37" s="77">
        <f>(D37*VLOOKUP(B37,'FTE Allotment Factor'!$B$7:$H$64,7,FALSE)*Q37)+(D37*R37)</f>
        <v>7347309.2413186757</v>
      </c>
      <c r="V37" s="77">
        <f>((((E37-1)*VLOOKUP(B37,'FTE Allotment Factor'!$B$7:$H$64,7,FALSE))+(K37*N37))*S37)+(T37*E37)</f>
        <v>1505029.9572511557</v>
      </c>
      <c r="W37" s="95">
        <f t="shared" si="3"/>
        <v>8852339.1985698305</v>
      </c>
      <c r="Y37" s="95">
        <f>F37*(VLOOKUP(A37, 'OE&amp;E by Cluster'!$B$6:$C$9,2,FALSE))</f>
        <v>3473413.3986604288</v>
      </c>
      <c r="AA37" s="273">
        <f>'AB1058'!E35</f>
        <v>363931.79</v>
      </c>
      <c r="AB37" s="95">
        <f t="shared" si="4"/>
        <v>25911569.007889275</v>
      </c>
      <c r="AC37" s="96">
        <f t="shared" si="1"/>
        <v>9.4081675110539685E-3</v>
      </c>
      <c r="AD37" s="58">
        <f t="shared" si="5"/>
        <v>150648.65702261205</v>
      </c>
    </row>
    <row r="38" spans="1:30" s="56" customFormat="1" ht="20.100000000000001" customHeight="1" x14ac:dyDescent="0.25">
      <c r="A38" s="69">
        <v>1</v>
      </c>
      <c r="B38" s="70" t="s">
        <v>15</v>
      </c>
      <c r="D38" s="71">
        <f>RAS!M38</f>
        <v>12</v>
      </c>
      <c r="E38" s="71">
        <f>RAS!Q38</f>
        <v>4</v>
      </c>
      <c r="F38" s="72">
        <f t="shared" si="0"/>
        <v>16</v>
      </c>
      <c r="H38" s="76">
        <f>(F38-1)*'AVG RAS salary'!$F$66</f>
        <v>990693.14089132147</v>
      </c>
      <c r="I38" s="76">
        <f>(F38-1)*(VLOOKUP(B38,'FTE Allotment Factor'!$B$6:$D$63,3))</f>
        <v>692262.44027074752</v>
      </c>
      <c r="J38" s="76">
        <f>(F38-1)*(VLOOKUP(B38,'FTE Allotment Factor'!$B$6:$H$63,7))</f>
        <v>750297.99361387012</v>
      </c>
      <c r="K38" s="273">
        <f>VLOOKUP(A38,'CEO Salary'!$G$7:$H$13,2)</f>
        <v>127124.65839999999</v>
      </c>
      <c r="L38" s="273">
        <f t="shared" si="6"/>
        <v>88830.357867818442</v>
      </c>
      <c r="N38" s="90">
        <f>VLOOKUP(B38,BLS!$B$5:$I$64,8, FALSE)</f>
        <v>0.69876575469970703</v>
      </c>
      <c r="O38" s="95">
        <f t="shared" si="7"/>
        <v>839128.35148168856</v>
      </c>
      <c r="Q38" s="92">
        <f>VLOOKUP(B38,'Program 10'!$A$7:$G$64,6)</f>
        <v>0.30832000000000009</v>
      </c>
      <c r="R38" s="9">
        <f>VLOOKUP(B38,'Program 10'!$A$7:$G$64,7)</f>
        <v>14273.999999999996</v>
      </c>
      <c r="S38" s="92">
        <f>VLOOKUP(B38,'Program 90'!$A$7:$G$64,6)</f>
        <v>0.30832000000000004</v>
      </c>
      <c r="T38" s="9">
        <f>VLOOKUP(B38,'Program 90'!$A$7:$G$64,7)</f>
        <v>20123.999999999996</v>
      </c>
      <c r="U38" s="77">
        <f>(D38*VLOOKUP(B38,'FTE Allotment Factor'!$B$7:$H$64,7,FALSE)*Q38)+(D38*R38)</f>
        <v>356353.50191282271</v>
      </c>
      <c r="V38" s="77">
        <f>((((E38-1)*VLOOKUP(B38,'FTE Allotment Factor'!$B$7:$H$64,7,FALSE))+(K38*N38))*S38)+(T38*E38)</f>
        <v>154150.55141601147</v>
      </c>
      <c r="W38" s="95">
        <f t="shared" si="3"/>
        <v>510504.05332883418</v>
      </c>
      <c r="Y38" s="95">
        <f>F38*(VLOOKUP(A38, 'OE&amp;E by Cluster'!$B$6:$C$9,2,FALSE))</f>
        <v>472627.46932887071</v>
      </c>
      <c r="AA38" s="273">
        <f>'AB1058'!E36</f>
        <v>141444.38</v>
      </c>
      <c r="AB38" s="95">
        <f t="shared" si="4"/>
        <v>1680815.4941393933</v>
      </c>
      <c r="AC38" s="96">
        <f t="shared" si="1"/>
        <v>6.1028314106427407E-4</v>
      </c>
      <c r="AD38" s="58">
        <f t="shared" si="5"/>
        <v>105050.96838371208</v>
      </c>
    </row>
    <row r="39" spans="1:30" s="56" customFormat="1" ht="20.100000000000001" customHeight="1" x14ac:dyDescent="0.25">
      <c r="A39" s="69">
        <v>4</v>
      </c>
      <c r="B39" s="70" t="s">
        <v>56</v>
      </c>
      <c r="D39" s="71">
        <f>RAS!M39</f>
        <v>928</v>
      </c>
      <c r="E39" s="71">
        <f>RAS!Q39</f>
        <v>150</v>
      </c>
      <c r="F39" s="72">
        <f t="shared" ref="F39:F64" si="8">SUM(D39:E39)</f>
        <v>1078</v>
      </c>
      <c r="H39" s="76">
        <f>(F39-1)*'AVG RAS salary'!$F$66</f>
        <v>71131767.515996888</v>
      </c>
      <c r="I39" s="76">
        <f>(F39-1)*(VLOOKUP(B39,'FTE Allotment Factor'!$B$6:$D$63,3))</f>
        <v>81445702.857736245</v>
      </c>
      <c r="J39" s="76">
        <f>(F39-1)*(VLOOKUP(B39,'FTE Allotment Factor'!$B$6:$H$63,7))</f>
        <v>81445702.857736245</v>
      </c>
      <c r="K39" s="273">
        <f>VLOOKUP(A39,'CEO Salary'!$G$7:$H$13,2)</f>
        <v>265871.93483199994</v>
      </c>
      <c r="L39" s="273">
        <f t="shared" si="6"/>
        <v>304422.72642344597</v>
      </c>
      <c r="N39" s="90">
        <f>VLOOKUP(B39,BLS!$B$5:$I$64,8, FALSE)</f>
        <v>1.1449975967407227</v>
      </c>
      <c r="O39" s="95">
        <f t="shared" si="7"/>
        <v>81750125.584159687</v>
      </c>
      <c r="Q39" s="92">
        <f>VLOOKUP(B39,'Program 10'!$A$7:$G$64,6)</f>
        <v>0.35331038677895066</v>
      </c>
      <c r="R39" s="9">
        <f>VLOOKUP(B39,'Program 10'!$A$7:$G$64,7)</f>
        <v>15956.344997077042</v>
      </c>
      <c r="S39" s="92">
        <f>VLOOKUP(B39,'Program 90'!$A$7:$G$64,6)</f>
        <v>0.35347557097073301</v>
      </c>
      <c r="T39" s="9">
        <f>VLOOKUP(B39,'Program 90'!$A$7:$G$64,7)</f>
        <v>17617.891999999982</v>
      </c>
      <c r="U39" s="77">
        <f>(D39*VLOOKUP(B39,'FTE Allotment Factor'!$B$7:$H$64,7,FALSE)*Q39)+(D39*R39)</f>
        <v>39602073.726575762</v>
      </c>
      <c r="V39" s="77">
        <f>((((E39-1)*VLOOKUP(B39,'FTE Allotment Factor'!$B$7:$H$64,7,FALSE))+(K39*N39))*S39)+(T39*E39)</f>
        <v>6733178.2666693497</v>
      </c>
      <c r="W39" s="95">
        <f t="shared" ref="W39:W64" si="9">SUM(U39:V39)</f>
        <v>46335251.99324511</v>
      </c>
      <c r="Y39" s="95">
        <f>F39*(VLOOKUP(A39, 'OE&amp;E by Cluster'!$B$6:$C$9,2,FALSE))</f>
        <v>21769416.533464782</v>
      </c>
      <c r="AA39" s="273">
        <f>'AB1058'!E37</f>
        <v>1680278.68</v>
      </c>
      <c r="AB39" s="95">
        <f t="shared" ref="AB39:AB64" si="10">(O39+W39+Y39)-AA39</f>
        <v>148174515.43086958</v>
      </c>
      <c r="AC39" s="96">
        <f t="shared" ref="AC39:AC64" si="11">AB39/$AB$65</f>
        <v>5.3800318368155423E-2</v>
      </c>
      <c r="AD39" s="58">
        <f t="shared" si="5"/>
        <v>137453.16830321852</v>
      </c>
    </row>
    <row r="40" spans="1:30" s="56" customFormat="1" ht="20.100000000000001" customHeight="1" x14ac:dyDescent="0.25">
      <c r="A40" s="69">
        <v>4</v>
      </c>
      <c r="B40" s="70" t="s">
        <v>57</v>
      </c>
      <c r="D40" s="71">
        <f>RAS!M40</f>
        <v>655</v>
      </c>
      <c r="E40" s="71">
        <f>RAS!Q40</f>
        <v>102</v>
      </c>
      <c r="F40" s="72">
        <f t="shared" si="8"/>
        <v>757</v>
      </c>
      <c r="H40" s="76">
        <f>(F40-1)*'AVG RAS salary'!$F$66</f>
        <v>49930934.300922602</v>
      </c>
      <c r="I40" s="76">
        <f>(F40-1)*(VLOOKUP(B40,'FTE Allotment Factor'!$B$6:$D$63,3))</f>
        <v>67470266.851413846</v>
      </c>
      <c r="J40" s="76">
        <f>(F40-1)*(VLOOKUP(B40,'FTE Allotment Factor'!$B$6:$H$63,7))</f>
        <v>67470266.851413846</v>
      </c>
      <c r="K40" s="273">
        <f>VLOOKUP(A40,'CEO Salary'!$G$7:$H$13,2)</f>
        <v>265871.93483199994</v>
      </c>
      <c r="L40" s="273">
        <f t="shared" si="6"/>
        <v>359265.2659632946</v>
      </c>
      <c r="N40" s="90">
        <f>VLOOKUP(B40,BLS!$B$5:$I$64,8, FALSE)</f>
        <v>1.3512718677520752</v>
      </c>
      <c r="O40" s="95">
        <f t="shared" si="7"/>
        <v>67829532.117377147</v>
      </c>
      <c r="Q40" s="92">
        <f>VLOOKUP(B40,'Program 10'!$A$7:$G$64,6)</f>
        <v>0.41979204013199517</v>
      </c>
      <c r="R40" s="9">
        <f>VLOOKUP(B40,'Program 10'!$A$7:$G$64,7)</f>
        <v>19750.28048665059</v>
      </c>
      <c r="S40" s="92">
        <f>VLOOKUP(B40,'Program 90'!$A$7:$G$64,6)</f>
        <v>0.4258594618857931</v>
      </c>
      <c r="T40" s="9">
        <f>VLOOKUP(B40,'Program 90'!$A$7:$G$64,7)</f>
        <v>20299.010913229533</v>
      </c>
      <c r="U40" s="77">
        <f>(D40*VLOOKUP(B40,'FTE Allotment Factor'!$B$7:$H$64,7,FALSE)*Q40)+(D40*R40)</f>
        <v>37475957.574870385</v>
      </c>
      <c r="V40" s="77">
        <f>((((E40-1)*VLOOKUP(B40,'FTE Allotment Factor'!$B$7:$H$64,7,FALSE))+(K40*N40))*S40)+(T40*E40)</f>
        <v>6062143.7807460977</v>
      </c>
      <c r="W40" s="95">
        <f t="shared" si="9"/>
        <v>43538101.35561648</v>
      </c>
      <c r="Y40" s="95">
        <f>F40*(VLOOKUP(A40, 'OE&amp;E by Cluster'!$B$6:$C$9,2,FALSE))</f>
        <v>15287057.806895027</v>
      </c>
      <c r="AA40" s="273">
        <f>'AB1058'!E38</f>
        <v>1685596.73</v>
      </c>
      <c r="AB40" s="95">
        <f t="shared" si="10"/>
        <v>124969094.54988866</v>
      </c>
      <c r="AC40" s="96">
        <f t="shared" si="11"/>
        <v>4.5374719488122092E-2</v>
      </c>
      <c r="AD40" s="58">
        <f t="shared" si="5"/>
        <v>165084.66915441037</v>
      </c>
    </row>
    <row r="41" spans="1:30" s="56" customFormat="1" ht="20.100000000000001" customHeight="1" x14ac:dyDescent="0.25">
      <c r="A41" s="69">
        <v>1</v>
      </c>
      <c r="B41" s="70" t="s">
        <v>16</v>
      </c>
      <c r="D41" s="71">
        <f>RAS!M41</f>
        <v>25</v>
      </c>
      <c r="E41" s="71">
        <f>RAS!Q41</f>
        <v>7</v>
      </c>
      <c r="F41" s="72">
        <f t="shared" si="8"/>
        <v>32</v>
      </c>
      <c r="H41" s="76">
        <f>(F41-1)*'AVG RAS salary'!$F$66</f>
        <v>2047432.4911753978</v>
      </c>
      <c r="I41" s="76">
        <f>(F41-1)*(VLOOKUP(B41,'FTE Allotment Factor'!$B$6:$D$63,3))</f>
        <v>2078339.9398513313</v>
      </c>
      <c r="J41" s="76">
        <f>(F41-1)*(VLOOKUP(B41,'FTE Allotment Factor'!$B$6:$H$63,7))</f>
        <v>2078339.9398513313</v>
      </c>
      <c r="K41" s="273">
        <f>VLOOKUP(A41,'CEO Salary'!$G$7:$H$13,2)</f>
        <v>127124.65839999999</v>
      </c>
      <c r="L41" s="273">
        <f t="shared" si="6"/>
        <v>129043.6954729576</v>
      </c>
      <c r="N41" s="90">
        <f>VLOOKUP(B41,BLS!$B$5:$I$64,8, FALSE)</f>
        <v>1.0150957107543945</v>
      </c>
      <c r="O41" s="95">
        <f t="shared" si="7"/>
        <v>2207383.6353242891</v>
      </c>
      <c r="Q41" s="92">
        <f>VLOOKUP(B41,'Program 10'!$A$7:$G$64,6)</f>
        <v>0.30380000000000013</v>
      </c>
      <c r="R41" s="9">
        <f>VLOOKUP(B41,'Program 10'!$A$7:$G$64,7)</f>
        <v>13268.870290721647</v>
      </c>
      <c r="S41" s="92">
        <f>VLOOKUP(B41,'Program 90'!$A$7:$G$64,6)</f>
        <v>0.30380000000000001</v>
      </c>
      <c r="T41" s="9">
        <f>VLOOKUP(B41,'Program 90'!$A$7:$G$64,7)</f>
        <v>15300.013800000001</v>
      </c>
      <c r="U41" s="77">
        <f>(D41*VLOOKUP(B41,'FTE Allotment Factor'!$B$7:$H$64,7,FALSE)*Q41)+(D41*R41)</f>
        <v>840915.04253161745</v>
      </c>
      <c r="V41" s="77">
        <f>((((E41-1)*VLOOKUP(B41,'FTE Allotment Factor'!$B$7:$H$64,7,FALSE))+(K41*N41))*S41)+(T41*E41)</f>
        <v>268509.9597479428</v>
      </c>
      <c r="W41" s="95">
        <f t="shared" si="9"/>
        <v>1109425.0022795603</v>
      </c>
      <c r="Y41" s="95">
        <f>F41*(VLOOKUP(A41, 'OE&amp;E by Cluster'!$B$6:$C$9,2,FALSE))</f>
        <v>945254.93865774141</v>
      </c>
      <c r="AA41" s="273">
        <f>'AB1058'!E39</f>
        <v>231941</v>
      </c>
      <c r="AB41" s="95">
        <f t="shared" si="10"/>
        <v>4030122.5762615902</v>
      </c>
      <c r="AC41" s="96">
        <f t="shared" si="11"/>
        <v>1.4632872396111998E-3</v>
      </c>
      <c r="AD41" s="58">
        <f t="shared" si="5"/>
        <v>125941.33050817469</v>
      </c>
    </row>
    <row r="42" spans="1:30" s="56" customFormat="1" ht="20.100000000000001" customHeight="1" x14ac:dyDescent="0.25">
      <c r="A42" s="69">
        <v>4</v>
      </c>
      <c r="B42" s="70" t="s">
        <v>58</v>
      </c>
      <c r="D42" s="71">
        <f>RAS!M42</f>
        <v>1069</v>
      </c>
      <c r="E42" s="71">
        <f>RAS!Q42</f>
        <v>164</v>
      </c>
      <c r="F42" s="72">
        <f t="shared" si="8"/>
        <v>1233</v>
      </c>
      <c r="H42" s="76">
        <f>(F42-1)*'AVG RAS salary'!$F$66</f>
        <v>81368929.971873879</v>
      </c>
      <c r="I42" s="76">
        <f>(F42-1)*(VLOOKUP(B42,'FTE Allotment Factor'!$B$6:$D$63,3))</f>
        <v>85664583.805473477</v>
      </c>
      <c r="J42" s="76">
        <f>(F42-1)*(VLOOKUP(B42,'FTE Allotment Factor'!$B$6:$H$63,7))</f>
        <v>85664583.805473477</v>
      </c>
      <c r="K42" s="273">
        <f>VLOOKUP(A42,'CEO Salary'!$G$7:$H$13,2)</f>
        <v>265871.93483199994</v>
      </c>
      <c r="L42" s="273">
        <f t="shared" si="6"/>
        <v>279907.9286259751</v>
      </c>
      <c r="N42" s="90">
        <f>VLOOKUP(B42,BLS!$B$5:$I$64,8, FALSE)</f>
        <v>1.0527923107147217</v>
      </c>
      <c r="O42" s="95">
        <f t="shared" si="7"/>
        <v>85944491.734099448</v>
      </c>
      <c r="Q42" s="92">
        <f>VLOOKUP(B42,'Program 10'!$A$7:$G$64,6)</f>
        <v>0.31988409063984968</v>
      </c>
      <c r="R42" s="9">
        <f>VLOOKUP(B42,'Program 10'!$A$7:$G$64,7)</f>
        <v>12914.363447457623</v>
      </c>
      <c r="S42" s="92">
        <f>VLOOKUP(B42,'Program 90'!$A$7:$G$64,6)</f>
        <v>0.35623908602467985</v>
      </c>
      <c r="T42" s="9">
        <f>VLOOKUP(B42,'Program 90'!$A$7:$G$64,7)</f>
        <v>15605.213873287948</v>
      </c>
      <c r="U42" s="77">
        <f>(D42*VLOOKUP(B42,'FTE Allotment Factor'!$B$7:$H$64,7,FALSE)*Q42)+(D42*R42)</f>
        <v>37582667.494090542</v>
      </c>
      <c r="V42" s="77">
        <f>((((E42-1)*VLOOKUP(B42,'FTE Allotment Factor'!$B$7:$H$64,7,FALSE))+(K42*N42))*S42)+(T42*E42)</f>
        <v>6696536.5132655557</v>
      </c>
      <c r="W42" s="95">
        <f t="shared" si="9"/>
        <v>44279204.0073561</v>
      </c>
      <c r="Y42" s="95">
        <f>F42*(VLOOKUP(A42, 'OE&amp;E by Cluster'!$B$6:$C$9,2,FALSE))</f>
        <v>24899527.445048306</v>
      </c>
      <c r="AA42" s="273">
        <f>'AB1058'!E40</f>
        <v>4385498.3600000003</v>
      </c>
      <c r="AB42" s="95">
        <f t="shared" si="10"/>
        <v>150737724.82650384</v>
      </c>
      <c r="AC42" s="96">
        <f t="shared" si="11"/>
        <v>5.4730987728729155E-2</v>
      </c>
      <c r="AD42" s="58">
        <f t="shared" si="5"/>
        <v>122252.81818856759</v>
      </c>
    </row>
    <row r="43" spans="1:30" s="56" customFormat="1" ht="20.100000000000001" customHeight="1" x14ac:dyDescent="0.25">
      <c r="A43" s="69">
        <v>4</v>
      </c>
      <c r="B43" s="70" t="s">
        <v>59</v>
      </c>
      <c r="D43" s="71">
        <f>RAS!M43</f>
        <v>1083</v>
      </c>
      <c r="E43" s="71">
        <f>RAS!Q43</f>
        <v>167</v>
      </c>
      <c r="F43" s="72">
        <f t="shared" si="8"/>
        <v>1250</v>
      </c>
      <c r="H43" s="76">
        <f>(F43-1)*'AVG RAS salary'!$F$66</f>
        <v>82491715.531550705</v>
      </c>
      <c r="I43" s="76">
        <f>(F43-1)*(VLOOKUP(B43,'FTE Allotment Factor'!$B$6:$D$63,3))</f>
        <v>96440006.387464419</v>
      </c>
      <c r="J43" s="76">
        <f>(F43-1)*(VLOOKUP(B43,'FTE Allotment Factor'!$B$6:$H$63,7))</f>
        <v>96440006.387464419</v>
      </c>
      <c r="K43" s="273">
        <f>VLOOKUP(A43,'CEO Salary'!$G$7:$H$13,2)</f>
        <v>265871.93483199994</v>
      </c>
      <c r="L43" s="273">
        <f t="shared" si="6"/>
        <v>310827.46828848257</v>
      </c>
      <c r="N43" s="90">
        <f>VLOOKUP(B43,BLS!$B$5:$I$64,8, FALSE)</f>
        <v>1.1690871715545654</v>
      </c>
      <c r="O43" s="95">
        <f t="shared" si="7"/>
        <v>96750833.8557529</v>
      </c>
      <c r="Q43" s="92">
        <f>VLOOKUP(B43,'Program 10'!$A$7:$G$64,6)</f>
        <v>0.5623590371070083</v>
      </c>
      <c r="R43" s="9">
        <f>VLOOKUP(B43,'Program 10'!$A$7:$G$64,7)</f>
        <v>15008.242824003486</v>
      </c>
      <c r="S43" s="92">
        <f>VLOOKUP(B43,'Program 90'!$A$7:$G$64,6)</f>
        <v>0.56500239993059986</v>
      </c>
      <c r="T43" s="9">
        <f>VLOOKUP(B43,'Program 90'!$A$7:$G$64,7)</f>
        <v>14882.32417679223</v>
      </c>
      <c r="U43" s="77">
        <f>(D43*VLOOKUP(B43,'FTE Allotment Factor'!$B$7:$H$64,7,FALSE)*Q43)+(D43*R43)</f>
        <v>63279806.552848957</v>
      </c>
      <c r="V43" s="77">
        <f>((((E43-1)*VLOOKUP(B43,'FTE Allotment Factor'!$B$7:$H$64,7,FALSE))+(K43*N43))*S43)+(T43*E43)</f>
        <v>9902877.2274654061</v>
      </c>
      <c r="W43" s="95">
        <f t="shared" si="9"/>
        <v>73182683.780314356</v>
      </c>
      <c r="Y43" s="95">
        <f>F43*(VLOOKUP(A43, 'OE&amp;E by Cluster'!$B$6:$C$9,2,FALSE))</f>
        <v>25242829.932125211</v>
      </c>
      <c r="AA43" s="273">
        <f>'AB1058'!E41</f>
        <v>3203049.2800000003</v>
      </c>
      <c r="AB43" s="95">
        <f t="shared" si="10"/>
        <v>191973298.28819248</v>
      </c>
      <c r="AC43" s="96">
        <f t="shared" si="11"/>
        <v>6.9703110120229991E-2</v>
      </c>
      <c r="AD43" s="58">
        <f t="shared" si="5"/>
        <v>153578.63863055399</v>
      </c>
    </row>
    <row r="44" spans="1:30" s="56" customFormat="1" ht="20.100000000000001" customHeight="1" x14ac:dyDescent="0.25">
      <c r="A44" s="69">
        <v>3</v>
      </c>
      <c r="B44" s="70" t="s">
        <v>60</v>
      </c>
      <c r="D44" s="71">
        <f>RAS!M44</f>
        <v>285</v>
      </c>
      <c r="E44" s="71">
        <f>RAS!Q44</f>
        <v>45</v>
      </c>
      <c r="F44" s="72">
        <f t="shared" si="8"/>
        <v>330</v>
      </c>
      <c r="H44" s="76">
        <f>(F44-1)*'AVG RAS salary'!$F$66</f>
        <v>21729202.890216317</v>
      </c>
      <c r="I44" s="76">
        <f>(F44-1)*(VLOOKUP(B44,'FTE Allotment Factor'!$B$6:$D$63,3))</f>
        <v>35910588.39522849</v>
      </c>
      <c r="J44" s="76">
        <f>(F44-1)*(VLOOKUP(B44,'FTE Allotment Factor'!$B$6:$H$63,7))</f>
        <v>35910588.39522849</v>
      </c>
      <c r="K44" s="273">
        <f>VLOOKUP(A44,'CEO Salary'!$G$7:$H$13,2)</f>
        <v>213653.64014246574</v>
      </c>
      <c r="L44" s="273">
        <f t="shared" si="6"/>
        <v>353092.93070078065</v>
      </c>
      <c r="N44" s="90">
        <f>VLOOKUP(B44,BLS!$B$5:$I$64,8, FALSE)</f>
        <v>1.652641773223877</v>
      </c>
      <c r="O44" s="95">
        <f t="shared" si="7"/>
        <v>36263681.325929269</v>
      </c>
      <c r="Q44" s="92">
        <f>VLOOKUP(B44,'Program 10'!$A$7:$G$64,6)</f>
        <v>0.33272294889561876</v>
      </c>
      <c r="R44" s="9">
        <f>VLOOKUP(B44,'Program 10'!$A$7:$G$64,7)</f>
        <v>25166.655987055015</v>
      </c>
      <c r="S44" s="92">
        <f>VLOOKUP(B44,'Program 90'!$A$7:$G$64,6)</f>
        <v>0.33693722892796774</v>
      </c>
      <c r="T44" s="9">
        <f>VLOOKUP(B44,'Program 90'!$A$7:$G$64,7)</f>
        <v>26668.787804878044</v>
      </c>
      <c r="U44" s="77">
        <f>(D44*VLOOKUP(B44,'FTE Allotment Factor'!$B$7:$H$64,7,FALSE)*Q44)+(D44*R44)</f>
        <v>17522827.981294278</v>
      </c>
      <c r="V44" s="77">
        <f>((((E44-1)*VLOOKUP(B44,'FTE Allotment Factor'!$B$7:$H$64,7,FALSE))+(K44*N44))*S44)+(T44*E44)</f>
        <v>2937251.0829432476</v>
      </c>
      <c r="W44" s="95">
        <f t="shared" si="9"/>
        <v>20460079.064237528</v>
      </c>
      <c r="Y44" s="95">
        <f>F44*(VLOOKUP(A44, 'OE&amp;E by Cluster'!$B$6:$C$9,2,FALSE))</f>
        <v>6664107.1020810558</v>
      </c>
      <c r="AA44" s="273">
        <f>'AB1058'!E42</f>
        <v>1135089.93</v>
      </c>
      <c r="AB44" s="95">
        <f t="shared" si="10"/>
        <v>62252777.56224785</v>
      </c>
      <c r="AC44" s="96">
        <f t="shared" si="11"/>
        <v>2.2603207052250936E-2</v>
      </c>
      <c r="AD44" s="58">
        <f t="shared" si="5"/>
        <v>188644.78049166015</v>
      </c>
    </row>
    <row r="45" spans="1:30" s="56" customFormat="1" ht="20.100000000000001" customHeight="1" x14ac:dyDescent="0.25">
      <c r="A45" s="69">
        <v>3</v>
      </c>
      <c r="B45" s="70" t="s">
        <v>45</v>
      </c>
      <c r="D45" s="71">
        <f>RAS!M45</f>
        <v>356</v>
      </c>
      <c r="E45" s="71">
        <f>RAS!Q45</f>
        <v>53</v>
      </c>
      <c r="F45" s="72">
        <f t="shared" si="8"/>
        <v>409</v>
      </c>
      <c r="H45" s="76">
        <f>(F45-1)*'AVG RAS salary'!$F$66</f>
        <v>26946853.432243947</v>
      </c>
      <c r="I45" s="76">
        <f>(F45-1)*(VLOOKUP(B45,'FTE Allotment Factor'!$B$6:$D$63,3))</f>
        <v>28698493.604393467</v>
      </c>
      <c r="J45" s="76">
        <f>(F45-1)*(VLOOKUP(B45,'FTE Allotment Factor'!$B$6:$H$63,7))</f>
        <v>28698493.604393467</v>
      </c>
      <c r="K45" s="273">
        <f>VLOOKUP(A45,'CEO Salary'!$G$7:$H$13,2)</f>
        <v>213653.64014246574</v>
      </c>
      <c r="L45" s="273">
        <f t="shared" si="6"/>
        <v>227541.87759254625</v>
      </c>
      <c r="N45" s="90">
        <f>VLOOKUP(B45,BLS!$B$5:$I$64,8, FALSE)</f>
        <v>1.065003514289856</v>
      </c>
      <c r="O45" s="95">
        <f t="shared" si="7"/>
        <v>28926035.481986012</v>
      </c>
      <c r="Q45" s="92">
        <f>VLOOKUP(B45,'Program 10'!$A$7:$G$64,6)</f>
        <v>0.4999886920180282</v>
      </c>
      <c r="R45" s="9">
        <f>VLOOKUP(B45,'Program 10'!$A$7:$G$64,7)</f>
        <v>14476.962096468178</v>
      </c>
      <c r="S45" s="92">
        <f>VLOOKUP(B45,'Program 90'!$A$7:$G$64,6)</f>
        <v>0.5445542917043249</v>
      </c>
      <c r="T45" s="9">
        <f>VLOOKUP(B45,'Program 90'!$A$7:$G$64,7)</f>
        <v>11242.888537792187</v>
      </c>
      <c r="U45" s="77">
        <f>(D45*VLOOKUP(B45,'FTE Allotment Factor'!$B$7:$H$64,7,FALSE)*Q45)+(D45*R45)</f>
        <v>17673936.574315324</v>
      </c>
      <c r="V45" s="77">
        <f>((((E45-1)*VLOOKUP(B45,'FTE Allotment Factor'!$B$7:$H$64,7,FALSE))+(K45*N45))*S45)+(T45*E45)</f>
        <v>2711571.6274137669</v>
      </c>
      <c r="W45" s="95">
        <f t="shared" si="9"/>
        <v>20385508.201729093</v>
      </c>
      <c r="Y45" s="95">
        <f>F45*(VLOOKUP(A45, 'OE&amp;E by Cluster'!$B$6:$C$9,2,FALSE))</f>
        <v>8259453.9537913688</v>
      </c>
      <c r="AA45" s="273">
        <f>'AB1058'!E43</f>
        <v>883752.45</v>
      </c>
      <c r="AB45" s="95">
        <f t="shared" si="10"/>
        <v>56687245.187506467</v>
      </c>
      <c r="AC45" s="96">
        <f t="shared" si="11"/>
        <v>2.0582431666020237E-2</v>
      </c>
      <c r="AD45" s="58">
        <f t="shared" si="5"/>
        <v>138599.62148534588</v>
      </c>
    </row>
    <row r="46" spans="1:30" s="56" customFormat="1" ht="20.100000000000001" customHeight="1" x14ac:dyDescent="0.25">
      <c r="A46" s="69">
        <v>2</v>
      </c>
      <c r="B46" s="70" t="s">
        <v>32</v>
      </c>
      <c r="D46" s="71">
        <f>RAS!M46</f>
        <v>131</v>
      </c>
      <c r="E46" s="71">
        <f>RAS!Q46</f>
        <v>26</v>
      </c>
      <c r="F46" s="72">
        <f t="shared" si="8"/>
        <v>157</v>
      </c>
      <c r="H46" s="76">
        <f>(F46-1)*'AVG RAS salary'!$F$66</f>
        <v>10303208.665269744</v>
      </c>
      <c r="I46" s="76">
        <f>(F46-1)*(VLOOKUP(B46,'FTE Allotment Factor'!$B$6:$D$63,3))</f>
        <v>10902840.688416852</v>
      </c>
      <c r="J46" s="76">
        <f>(F46-1)*(VLOOKUP(B46,'FTE Allotment Factor'!$B$6:$H$63,7))</f>
        <v>10902840.688416852</v>
      </c>
      <c r="K46" s="273">
        <f>VLOOKUP(A46,'CEO Salary'!$G$7:$H$13,2)</f>
        <v>190157.45434750689</v>
      </c>
      <c r="L46" s="273">
        <f t="shared" si="6"/>
        <v>201224.34649453827</v>
      </c>
      <c r="N46" s="90">
        <f>VLOOKUP(B46,BLS!$B$5:$I$64,8, FALSE)</f>
        <v>1.0581985712051392</v>
      </c>
      <c r="O46" s="95">
        <f t="shared" si="7"/>
        <v>11104065.03491139</v>
      </c>
      <c r="Q46" s="92">
        <f>VLOOKUP(B46,'Program 10'!$A$7:$G$64,6)</f>
        <v>0.42140472274387353</v>
      </c>
      <c r="R46" s="9">
        <f>VLOOKUP(B46,'Program 10'!$A$7:$G$64,7)</f>
        <v>11453.253101736973</v>
      </c>
      <c r="S46" s="92">
        <f>VLOOKUP(B46,'Program 90'!$A$7:$G$64,6)</f>
        <v>0.45268916966410128</v>
      </c>
      <c r="T46" s="9">
        <f>VLOOKUP(B46,'Program 90'!$A$7:$G$64,7)</f>
        <v>11464.5</v>
      </c>
      <c r="U46" s="77">
        <f>(D46*VLOOKUP(B46,'FTE Allotment Factor'!$B$7:$H$64,7,FALSE)*Q46)+(D46*R46)</f>
        <v>5358585.2654455137</v>
      </c>
      <c r="V46" s="77">
        <f>((((E46-1)*VLOOKUP(B46,'FTE Allotment Factor'!$B$7:$H$64,7,FALSE))+(K46*N46))*S46)+(T46*E46)</f>
        <v>1180130.2839685387</v>
      </c>
      <c r="W46" s="95">
        <f t="shared" si="9"/>
        <v>6538715.5494140526</v>
      </c>
      <c r="Y46" s="95">
        <f>F46*(VLOOKUP(A46, 'OE&amp;E by Cluster'!$B$6:$C$9,2,FALSE))</f>
        <v>3170499.4394749263</v>
      </c>
      <c r="AA46" s="273">
        <f>'AB1058'!E44</f>
        <v>276005.75</v>
      </c>
      <c r="AB46" s="95">
        <f t="shared" si="10"/>
        <v>20537274.273800369</v>
      </c>
      <c r="AC46" s="96">
        <f t="shared" si="11"/>
        <v>7.4568281268318467E-3</v>
      </c>
      <c r="AD46" s="58">
        <f t="shared" si="5"/>
        <v>130810.66416433356</v>
      </c>
    </row>
    <row r="47" spans="1:30" s="56" customFormat="1" ht="20.100000000000001" customHeight="1" x14ac:dyDescent="0.25">
      <c r="A47" s="69">
        <v>3</v>
      </c>
      <c r="B47" s="70" t="s">
        <v>46</v>
      </c>
      <c r="D47" s="71">
        <f>RAS!M47</f>
        <v>238</v>
      </c>
      <c r="E47" s="71">
        <f>RAS!Q47</f>
        <v>36</v>
      </c>
      <c r="F47" s="72">
        <f t="shared" si="8"/>
        <v>274</v>
      </c>
      <c r="H47" s="76">
        <f>(F47-1)*'AVG RAS salary'!$F$66</f>
        <v>18030615.16422205</v>
      </c>
      <c r="I47" s="76">
        <f>(F47-1)*(VLOOKUP(B47,'FTE Allotment Factor'!$B$6:$D$63,3))</f>
        <v>26805725.41626332</v>
      </c>
      <c r="J47" s="76">
        <f>(F47-1)*(VLOOKUP(B47,'FTE Allotment Factor'!$B$6:$H$63,7))</f>
        <v>26805725.41626332</v>
      </c>
      <c r="K47" s="273">
        <f>VLOOKUP(A47,'CEO Salary'!$G$7:$H$13,2)</f>
        <v>213653.64014246574</v>
      </c>
      <c r="L47" s="273">
        <f t="shared" si="6"/>
        <v>317634.24373941339</v>
      </c>
      <c r="N47" s="90">
        <f>VLOOKUP(B47,BLS!$B$5:$I$64,8, FALSE)</f>
        <v>1.4866783618927002</v>
      </c>
      <c r="O47" s="95">
        <f t="shared" si="7"/>
        <v>27123359.660002735</v>
      </c>
      <c r="Q47" s="92">
        <f>VLOOKUP(B47,'Program 10'!$A$7:$G$64,6)</f>
        <v>0.41527100427364261</v>
      </c>
      <c r="R47" s="9">
        <f>VLOOKUP(B47,'Program 10'!$A$7:$G$64,7)</f>
        <v>17003.20118001461</v>
      </c>
      <c r="S47" s="92">
        <f>VLOOKUP(B47,'Program 90'!$A$7:$G$64,6)</f>
        <v>0.43016680697290621</v>
      </c>
      <c r="T47" s="9">
        <f>VLOOKUP(B47,'Program 90'!$A$7:$G$64,7)</f>
        <v>17003.201180014566</v>
      </c>
      <c r="U47" s="77">
        <f>(D47*VLOOKUP(B47,'FTE Allotment Factor'!$B$7:$H$64,7,FALSE)*Q47)+(D47*R47)</f>
        <v>13751268.995521322</v>
      </c>
      <c r="V47" s="77">
        <f>((((E47-1)*VLOOKUP(B47,'FTE Allotment Factor'!$B$7:$H$64,7,FALSE))+(K47*N47))*S47)+(T47*E47)</f>
        <v>2227075.7343447087</v>
      </c>
      <c r="W47" s="95">
        <f t="shared" si="9"/>
        <v>15978344.729866032</v>
      </c>
      <c r="Y47" s="95">
        <f>F47*(VLOOKUP(A47, 'OE&amp;E by Cluster'!$B$6:$C$9,2,FALSE))</f>
        <v>5533228.3211218463</v>
      </c>
      <c r="AA47" s="273">
        <f>'AB1058'!E45</f>
        <v>583400.22</v>
      </c>
      <c r="AB47" s="95">
        <f t="shared" si="10"/>
        <v>48051532.490990616</v>
      </c>
      <c r="AC47" s="96">
        <f t="shared" si="11"/>
        <v>1.7446912099396552E-2</v>
      </c>
      <c r="AD47" s="58">
        <f t="shared" si="5"/>
        <v>175370.5565364621</v>
      </c>
    </row>
    <row r="48" spans="1:30" s="56" customFormat="1" ht="20.100000000000001" customHeight="1" x14ac:dyDescent="0.25">
      <c r="A48" s="69">
        <v>3</v>
      </c>
      <c r="B48" s="70" t="s">
        <v>47</v>
      </c>
      <c r="D48" s="71">
        <f>RAS!M48</f>
        <v>185</v>
      </c>
      <c r="E48" s="71">
        <f>RAS!Q48</f>
        <v>29</v>
      </c>
      <c r="F48" s="72">
        <f t="shared" si="8"/>
        <v>214</v>
      </c>
      <c r="H48" s="76">
        <f>(F48-1)*'AVG RAS salary'!$F$66</f>
        <v>14067842.600656766</v>
      </c>
      <c r="I48" s="76">
        <f>(F48-1)*(VLOOKUP(B48,'FTE Allotment Factor'!$B$6:$D$63,3))</f>
        <v>17220268.275060099</v>
      </c>
      <c r="J48" s="76">
        <f>(F48-1)*(VLOOKUP(B48,'FTE Allotment Factor'!$B$6:$H$63,7))</f>
        <v>17220268.275060099</v>
      </c>
      <c r="K48" s="273">
        <f>VLOOKUP(A48,'CEO Salary'!$G$7:$H$13,2)</f>
        <v>213653.64014246574</v>
      </c>
      <c r="L48" s="273">
        <f t="shared" si="6"/>
        <v>261530.71978674573</v>
      </c>
      <c r="N48" s="90">
        <f>VLOOKUP(B48,BLS!$B$5:$I$64,8, FALSE)</f>
        <v>1.2240873575210571</v>
      </c>
      <c r="O48" s="95">
        <f t="shared" si="7"/>
        <v>17481798.994846843</v>
      </c>
      <c r="Q48" s="92">
        <f>VLOOKUP(B48,'Program 10'!$A$7:$G$64,6)</f>
        <v>0.44638632249525212</v>
      </c>
      <c r="R48" s="9">
        <f>VLOOKUP(B48,'Program 10'!$A$7:$G$64,7)</f>
        <v>9181.1674949319258</v>
      </c>
      <c r="S48" s="92">
        <f>VLOOKUP(B48,'Program 90'!$A$7:$G$64,6)</f>
        <v>0.45867205622888724</v>
      </c>
      <c r="T48" s="9">
        <f>VLOOKUP(B48,'Program 90'!$A$7:$G$64,7)</f>
        <v>9252.2824385805288</v>
      </c>
      <c r="U48" s="77">
        <f>(D48*VLOOKUP(B48,'FTE Allotment Factor'!$B$7:$H$64,7,FALSE)*Q48)+(D48*R48)</f>
        <v>8374924.7289185617</v>
      </c>
      <c r="V48" s="77">
        <f>((((E48-1)*VLOOKUP(B48,'FTE Allotment Factor'!$B$7:$H$64,7,FALSE))+(K48*N48))*S48)+(T48*E48)</f>
        <v>1426567.6905800994</v>
      </c>
      <c r="W48" s="95">
        <f t="shared" si="9"/>
        <v>9801492.4194986615</v>
      </c>
      <c r="Y48" s="95">
        <f>F48*(VLOOKUP(A48, 'OE&amp;E by Cluster'!$B$6:$C$9,2,FALSE))</f>
        <v>4321572.4843798364</v>
      </c>
      <c r="AA48" s="273">
        <f>'AB1058'!E46</f>
        <v>769517</v>
      </c>
      <c r="AB48" s="95">
        <f t="shared" si="10"/>
        <v>30835346.898725338</v>
      </c>
      <c r="AC48" s="96">
        <f t="shared" si="11"/>
        <v>1.119592984879992E-2</v>
      </c>
      <c r="AD48" s="58">
        <f t="shared" si="5"/>
        <v>144090.40606881</v>
      </c>
    </row>
    <row r="49" spans="1:30" s="56" customFormat="1" ht="20.100000000000001" customHeight="1" x14ac:dyDescent="0.25">
      <c r="A49" s="69">
        <v>4</v>
      </c>
      <c r="B49" s="70" t="s">
        <v>61</v>
      </c>
      <c r="D49" s="71">
        <f>RAS!M49</f>
        <v>536</v>
      </c>
      <c r="E49" s="71">
        <f>RAS!Q49</f>
        <v>83</v>
      </c>
      <c r="F49" s="72">
        <f t="shared" si="8"/>
        <v>619</v>
      </c>
      <c r="H49" s="76">
        <f>(F49-1)*'AVG RAS salary'!$F$66</f>
        <v>40816557.404722445</v>
      </c>
      <c r="I49" s="76">
        <f>(F49-1)*(VLOOKUP(B49,'FTE Allotment Factor'!$B$6:$D$63,3))</f>
        <v>59896287.284268536</v>
      </c>
      <c r="J49" s="76">
        <f>(F49-1)*(VLOOKUP(B49,'FTE Allotment Factor'!$B$6:$H$63,7))</f>
        <v>59896287.284268536</v>
      </c>
      <c r="K49" s="273">
        <f>VLOOKUP(A49,'CEO Salary'!$G$7:$H$13,2)</f>
        <v>265871.93483199994</v>
      </c>
      <c r="L49" s="273">
        <f t="shared" si="6"/>
        <v>390153.96697025967</v>
      </c>
      <c r="N49" s="90">
        <f>VLOOKUP(B49,BLS!$B$5:$I$64,8, FALSE)</f>
        <v>1.467450737953186</v>
      </c>
      <c r="O49" s="95">
        <f t="shared" si="7"/>
        <v>60286441.251238793</v>
      </c>
      <c r="Q49" s="92">
        <f>VLOOKUP(B49,'Program 10'!$A$7:$G$64,6)</f>
        <v>0.34353679527137643</v>
      </c>
      <c r="R49" s="9">
        <f>VLOOKUP(B49,'Program 10'!$A$7:$G$64,7)</f>
        <v>21956.682062253403</v>
      </c>
      <c r="S49" s="92">
        <f>VLOOKUP(B49,'Program 90'!$A$7:$G$64,6)</f>
        <v>0.34217264235676054</v>
      </c>
      <c r="T49" s="9">
        <f>VLOOKUP(B49,'Program 90'!$A$7:$G$64,7)</f>
        <v>22630.68469086181</v>
      </c>
      <c r="U49" s="77">
        <f>(D49*VLOOKUP(B49,'FTE Allotment Factor'!$B$7:$H$64,7,FALSE)*Q49)+(D49*R49)</f>
        <v>29615134.530526627</v>
      </c>
      <c r="V49" s="77">
        <f>((((E49-1)*VLOOKUP(B49,'FTE Allotment Factor'!$B$7:$H$64,7,FALSE))+(K49*N49))*S49)+(T49*E49)</f>
        <v>4731231.0062011527</v>
      </c>
      <c r="W49" s="95">
        <f t="shared" si="9"/>
        <v>34346365.536727779</v>
      </c>
      <c r="Y49" s="95">
        <f>F49*(VLOOKUP(A49, 'OE&amp;E by Cluster'!$B$6:$C$9,2,FALSE))</f>
        <v>12500249.382388404</v>
      </c>
      <c r="AA49" s="273">
        <f>'AB1058'!E47</f>
        <v>2589131.8199999998</v>
      </c>
      <c r="AB49" s="95">
        <f t="shared" si="10"/>
        <v>104543924.35035498</v>
      </c>
      <c r="AC49" s="96">
        <f t="shared" si="11"/>
        <v>3.7958594952379292E-2</v>
      </c>
      <c r="AD49" s="58">
        <f t="shared" si="5"/>
        <v>168891.63869201127</v>
      </c>
    </row>
    <row r="50" spans="1:30" s="56" customFormat="1" ht="20.100000000000001" customHeight="1" x14ac:dyDescent="0.25">
      <c r="A50" s="69">
        <v>2</v>
      </c>
      <c r="B50" s="70" t="s">
        <v>33</v>
      </c>
      <c r="D50" s="71">
        <f>RAS!M50</f>
        <v>109</v>
      </c>
      <c r="E50" s="71">
        <f>RAS!Q50</f>
        <v>23</v>
      </c>
      <c r="F50" s="72">
        <f t="shared" si="8"/>
        <v>132</v>
      </c>
      <c r="H50" s="76">
        <f>(F50-1)*'AVG RAS salary'!$F$66</f>
        <v>8652053.4304508753</v>
      </c>
      <c r="I50" s="76">
        <f>(F50-1)*(VLOOKUP(B50,'FTE Allotment Factor'!$B$6:$D$63,3))</f>
        <v>10113126.484380115</v>
      </c>
      <c r="J50" s="76">
        <f>(F50-1)*(VLOOKUP(B50,'FTE Allotment Factor'!$B$6:$H$63,7))</f>
        <v>10113126.484380115</v>
      </c>
      <c r="K50" s="273">
        <f>VLOOKUP(A50,'CEO Salary'!$G$7:$H$13,2)</f>
        <v>190157.45434750689</v>
      </c>
      <c r="L50" s="273">
        <f t="shared" si="6"/>
        <v>222269.36105084349</v>
      </c>
      <c r="N50" s="90">
        <f>VLOOKUP(B50,BLS!$B$5:$I$64,8, FALSE)</f>
        <v>1.1688700914382935</v>
      </c>
      <c r="O50" s="95">
        <f t="shared" si="7"/>
        <v>10335395.845430959</v>
      </c>
      <c r="Q50" s="92">
        <f>VLOOKUP(B50,'Program 10'!$A$7:$G$64,6)</f>
        <v>0.34353903083412596</v>
      </c>
      <c r="R50" s="9">
        <f>VLOOKUP(B50,'Program 10'!$A$7:$G$64,7)</f>
        <v>17359.695711060951</v>
      </c>
      <c r="S50" s="92">
        <f>VLOOKUP(B50,'Program 90'!$A$7:$G$64,6)</f>
        <v>0.34168541060768282</v>
      </c>
      <c r="T50" s="9">
        <f>VLOOKUP(B50,'Program 90'!$A$7:$G$64,7)</f>
        <v>19298.935000000001</v>
      </c>
      <c r="U50" s="77">
        <f>(D50*VLOOKUP(B50,'FTE Allotment Factor'!$B$7:$H$64,7,FALSE)*Q50)+(D50*R50)</f>
        <v>4782998.0550629674</v>
      </c>
      <c r="V50" s="77">
        <f>((((E50-1)*VLOOKUP(B50,'FTE Allotment Factor'!$B$7:$H$64,7,FALSE))+(K50*N50))*S50)+(T50*E50)</f>
        <v>1100135.9857781702</v>
      </c>
      <c r="W50" s="95">
        <f t="shared" si="9"/>
        <v>5883134.040841138</v>
      </c>
      <c r="Y50" s="95">
        <f>F50*(VLOOKUP(A50, 'OE&amp;E by Cluster'!$B$6:$C$9,2,FALSE))</f>
        <v>2665642.840832422</v>
      </c>
      <c r="AA50" s="273">
        <f>'AB1058'!E48</f>
        <v>300334.99</v>
      </c>
      <c r="AB50" s="95">
        <f t="shared" si="10"/>
        <v>18583837.73710452</v>
      </c>
      <c r="AC50" s="96">
        <f t="shared" si="11"/>
        <v>6.7475596856250613E-3</v>
      </c>
      <c r="AD50" s="58">
        <f t="shared" si="5"/>
        <v>140786.6495235191</v>
      </c>
    </row>
    <row r="51" spans="1:30" s="56" customFormat="1" ht="20.100000000000001" customHeight="1" x14ac:dyDescent="0.25">
      <c r="A51" s="69">
        <v>2</v>
      </c>
      <c r="B51" s="70" t="s">
        <v>34</v>
      </c>
      <c r="D51" s="71">
        <f>RAS!M51</f>
        <v>127</v>
      </c>
      <c r="E51" s="71">
        <f>RAS!Q51</f>
        <v>34</v>
      </c>
      <c r="F51" s="72">
        <f t="shared" si="8"/>
        <v>161</v>
      </c>
      <c r="H51" s="76">
        <f>(F51-1)*'AVG RAS salary'!$F$66</f>
        <v>10567393.502840763</v>
      </c>
      <c r="I51" s="76">
        <f>(F51-1)*(VLOOKUP(B51,'FTE Allotment Factor'!$B$6:$D$63,3))</f>
        <v>9334048.9962392505</v>
      </c>
      <c r="J51" s="76">
        <f>(F51-1)*(VLOOKUP(B51,'FTE Allotment Factor'!$B$6:$H$63,7))</f>
        <v>9334048.9962392505</v>
      </c>
      <c r="K51" s="273">
        <f>VLOOKUP(A51,'CEO Salary'!$G$7:$H$13,2)</f>
        <v>190157.45434750689</v>
      </c>
      <c r="L51" s="273">
        <f t="shared" si="6"/>
        <v>167963.74578107765</v>
      </c>
      <c r="N51" s="90">
        <f>VLOOKUP(B51,BLS!$B$5:$I$64,8, FALSE)</f>
        <v>0.88328772783279419</v>
      </c>
      <c r="O51" s="95">
        <f t="shared" si="7"/>
        <v>9502012.7420203276</v>
      </c>
      <c r="Q51" s="92">
        <f>VLOOKUP(B51,'Program 10'!$A$7:$G$64,6)</f>
        <v>0.30031485842937106</v>
      </c>
      <c r="R51" s="9">
        <f>VLOOKUP(B51,'Program 10'!$A$7:$G$64,7)</f>
        <v>10570.346588341617</v>
      </c>
      <c r="S51" s="92">
        <f>VLOOKUP(B51,'Program 90'!$A$7:$G$64,6)</f>
        <v>0.31058279142461109</v>
      </c>
      <c r="T51" s="9">
        <f>VLOOKUP(B51,'Program 90'!$A$7:$G$64,7)</f>
        <v>13087.0625</v>
      </c>
      <c r="U51" s="77">
        <f>(D51*VLOOKUP(B51,'FTE Allotment Factor'!$B$7:$H$64,7,FALSE)*Q51)+(D51*R51)</f>
        <v>3567437.1890041181</v>
      </c>
      <c r="V51" s="77">
        <f>((((E51-1)*VLOOKUP(B51,'FTE Allotment Factor'!$B$7:$H$64,7,FALSE))+(K51*N51))*S51)+(T51*E51)</f>
        <v>1095044.491235449</v>
      </c>
      <c r="W51" s="95">
        <f t="shared" si="9"/>
        <v>4662481.6802395675</v>
      </c>
      <c r="Y51" s="95">
        <f>F51*(VLOOKUP(A51, 'OE&amp;E by Cluster'!$B$6:$C$9,2,FALSE))</f>
        <v>3251276.4952577269</v>
      </c>
      <c r="AA51" s="273">
        <f>'AB1058'!E49</f>
        <v>484928.52999999997</v>
      </c>
      <c r="AB51" s="95">
        <f t="shared" si="10"/>
        <v>16930842.38751762</v>
      </c>
      <c r="AC51" s="96">
        <f t="shared" si="11"/>
        <v>6.1473776920463723E-3</v>
      </c>
      <c r="AD51" s="58">
        <f t="shared" si="5"/>
        <v>105160.51172371193</v>
      </c>
    </row>
    <row r="52" spans="1:30" s="56" customFormat="1" ht="20.100000000000001" customHeight="1" x14ac:dyDescent="0.25">
      <c r="A52" s="69">
        <v>1</v>
      </c>
      <c r="B52" s="70" t="s">
        <v>17</v>
      </c>
      <c r="D52" s="71">
        <f>RAS!M52</f>
        <v>2</v>
      </c>
      <c r="E52" s="71">
        <f>RAS!Q52</f>
        <v>1</v>
      </c>
      <c r="F52" s="72">
        <f t="shared" si="8"/>
        <v>3</v>
      </c>
      <c r="H52" s="76">
        <f>(F52-1)*'AVG RAS salary'!$F$66</f>
        <v>132092.41878550954</v>
      </c>
      <c r="I52" s="76">
        <f>(F52-1)*(VLOOKUP(B52,'FTE Allotment Factor'!$B$6:$D$63,3))</f>
        <v>81897.299647015912</v>
      </c>
      <c r="J52" s="76">
        <f>(F52-1)*(VLOOKUP(B52,'FTE Allotment Factor'!$B$6:$H$63,7))</f>
        <v>100039.73248184935</v>
      </c>
      <c r="K52" s="273">
        <f>VLOOKUP(A52,'CEO Salary'!$G$7:$H$13,2)</f>
        <v>127124.65839999999</v>
      </c>
      <c r="L52" s="273">
        <f>IF(N52&lt;&gt;0,N52*K52,K52)</f>
        <v>78817.288207999984</v>
      </c>
      <c r="N52" s="90">
        <f>VLOOKUP(B52,BLS!$B$5:$I$64,8, FALSE)</f>
        <v>0.62</v>
      </c>
      <c r="O52" s="95">
        <f t="shared" si="7"/>
        <v>178857.02068984933</v>
      </c>
      <c r="Q52" s="92">
        <f>VLOOKUP(B52,'Program 10'!$A$7:$G$64,6)</f>
        <v>0.38962999999999992</v>
      </c>
      <c r="R52" s="9">
        <f>VLOOKUP(B52,'Program 10'!$A$7:$G$64,7)</f>
        <v>22863.64</v>
      </c>
      <c r="S52" s="92">
        <f>VLOOKUP(B52,'Program 90'!$A$7:$G$64,6)</f>
        <v>0.38962999999999998</v>
      </c>
      <c r="T52" s="9">
        <f>VLOOKUP(B52,'Program 90'!$A$7:$G$64,7)</f>
        <v>22863.64</v>
      </c>
      <c r="U52" s="77">
        <f>(D52*VLOOKUP(B52,'FTE Allotment Factor'!$B$7:$H$64,7,FALSE)*Q52)+(D52*R52)</f>
        <v>84705.760966902948</v>
      </c>
      <c r="V52" s="77">
        <f>((((E52-1)*VLOOKUP(B52,'FTE Allotment Factor'!$B$7:$H$64,7,FALSE))+(K52*N52))*S52)+(T52*E52)</f>
        <v>53573.220004483032</v>
      </c>
      <c r="W52" s="95">
        <f t="shared" si="9"/>
        <v>138278.98097138599</v>
      </c>
      <c r="Y52" s="95">
        <f>F52*(VLOOKUP(A52, 'OE&amp;E by Cluster'!$B$6:$C$9,2,FALSE))</f>
        <v>88617.650499163254</v>
      </c>
      <c r="AA52" s="273">
        <f>'AB1058'!E50</f>
        <v>0</v>
      </c>
      <c r="AB52" s="95">
        <f t="shared" si="10"/>
        <v>405753.6521603986</v>
      </c>
      <c r="AC52" s="96">
        <f t="shared" si="11"/>
        <v>1.4732409012301319E-4</v>
      </c>
      <c r="AD52" s="58">
        <f t="shared" si="5"/>
        <v>135251.21738679954</v>
      </c>
    </row>
    <row r="53" spans="1:30" s="56" customFormat="1" ht="20.100000000000001" customHeight="1" x14ac:dyDescent="0.25">
      <c r="A53" s="69">
        <v>2</v>
      </c>
      <c r="B53" s="70" t="s">
        <v>35</v>
      </c>
      <c r="D53" s="71">
        <f>RAS!M53</f>
        <v>34</v>
      </c>
      <c r="E53" s="71">
        <f>RAS!Q53</f>
        <v>7</v>
      </c>
      <c r="F53" s="72">
        <f t="shared" si="8"/>
        <v>41</v>
      </c>
      <c r="H53" s="76">
        <f>(F53-1)*'AVG RAS salary'!$F$66</f>
        <v>2641848.3757101907</v>
      </c>
      <c r="I53" s="76">
        <f>(F53-1)*(VLOOKUP(B53,'FTE Allotment Factor'!$B$6:$D$63,3))</f>
        <v>1801620.2387492582</v>
      </c>
      <c r="J53" s="76">
        <f>(F53-1)*(VLOOKUP(B53,'FTE Allotment Factor'!$B$6:$H$63,7))</f>
        <v>2000794.6496369871</v>
      </c>
      <c r="K53" s="273">
        <f>VLOOKUP(A53,'CEO Salary'!$G$7:$H$13,2)</f>
        <v>190157.45434750689</v>
      </c>
      <c r="L53" s="273">
        <f>IF(N53&lt;&gt;0,N53*K53,K53)</f>
        <v>129678.72094832466</v>
      </c>
      <c r="N53" s="90">
        <f>VLOOKUP(B53,BLS!$B$5:$I$64,8, FALSE)</f>
        <v>0.68195444345474243</v>
      </c>
      <c r="O53" s="95">
        <f t="shared" si="7"/>
        <v>2130473.3705853117</v>
      </c>
      <c r="Q53" s="92">
        <f>VLOOKUP(B53,'Program 10'!$A$7:$G$64,6)</f>
        <v>0.40664000000000022</v>
      </c>
      <c r="R53" s="9">
        <f>VLOOKUP(B53,'Program 10'!$A$7:$G$64,7)</f>
        <v>20966.800733229331</v>
      </c>
      <c r="S53" s="92">
        <f>VLOOKUP(B53,'Program 90'!$A$7:$G$64,6)</f>
        <v>0.40664</v>
      </c>
      <c r="T53" s="9">
        <f>VLOOKUP(B53,'Program 90'!$A$7:$G$64,7)</f>
        <v>22590.47</v>
      </c>
      <c r="U53" s="77">
        <f>(D53*VLOOKUP(B53,'FTE Allotment Factor'!$B$7:$H$64,7,FALSE)*Q53)+(D53*R53)</f>
        <v>1404433.8908089243</v>
      </c>
      <c r="V53" s="77">
        <f>((((E53-1)*VLOOKUP(B53,'FTE Allotment Factor'!$B$7:$H$64,7,FALSE))+(K53*N53))*S53)+(T53*E53)</f>
        <v>332906.31553568441</v>
      </c>
      <c r="W53" s="95">
        <f t="shared" si="9"/>
        <v>1737340.2063446087</v>
      </c>
      <c r="Y53" s="95">
        <f>F53*(VLOOKUP(A53, 'OE&amp;E by Cluster'!$B$6:$C$9,2,FALSE))</f>
        <v>827964.82177370694</v>
      </c>
      <c r="AA53" s="273">
        <f>'AB1058'!E51</f>
        <v>183544.87</v>
      </c>
      <c r="AB53" s="95">
        <f t="shared" si="10"/>
        <v>4512233.5287036272</v>
      </c>
      <c r="AC53" s="96">
        <f t="shared" si="11"/>
        <v>1.638335713059776E-3</v>
      </c>
      <c r="AD53" s="58">
        <f t="shared" si="5"/>
        <v>110054.47630984457</v>
      </c>
    </row>
    <row r="54" spans="1:30" s="56" customFormat="1" ht="20.100000000000001" customHeight="1" x14ac:dyDescent="0.25">
      <c r="A54" s="69">
        <v>3</v>
      </c>
      <c r="B54" s="70" t="s">
        <v>48</v>
      </c>
      <c r="D54" s="71">
        <f>RAS!M54</f>
        <v>187</v>
      </c>
      <c r="E54" s="71">
        <f>RAS!Q54</f>
        <v>28</v>
      </c>
      <c r="F54" s="72">
        <f t="shared" si="8"/>
        <v>215</v>
      </c>
      <c r="H54" s="76">
        <f>(F54-1)*'AVG RAS salary'!$F$66</f>
        <v>14133888.810049521</v>
      </c>
      <c r="I54" s="76">
        <f>(F54-1)*(VLOOKUP(B54,'FTE Allotment Factor'!$B$6:$D$63,3))</f>
        <v>16956141.629209757</v>
      </c>
      <c r="J54" s="76">
        <f>(F54-1)*(VLOOKUP(B54,'FTE Allotment Factor'!$B$6:$H$63,7))</f>
        <v>16956141.629209757</v>
      </c>
      <c r="K54" s="273">
        <f>VLOOKUP(A54,'CEO Salary'!$G$7:$H$13,2)</f>
        <v>213653.64014246574</v>
      </c>
      <c r="L54" s="273">
        <f t="shared" ref="L54:L58" si="12">IF(N54&lt;&gt;0,N54*K54,K54)</f>
        <v>256315.9672853809</v>
      </c>
      <c r="N54" s="90">
        <f>VLOOKUP(B54,BLS!$B$5:$I$64,8, FALSE)</f>
        <v>1.1996798515319824</v>
      </c>
      <c r="O54" s="95">
        <f t="shared" si="7"/>
        <v>17212457.596495137</v>
      </c>
      <c r="Q54" s="92">
        <f>VLOOKUP(B54,'Program 10'!$A$7:$G$64,6)</f>
        <v>0.45466468230849305</v>
      </c>
      <c r="R54" s="9">
        <f>VLOOKUP(B54,'Program 10'!$A$7:$G$64,7)</f>
        <v>16201.691689013051</v>
      </c>
      <c r="S54" s="92">
        <f>VLOOKUP(B54,'Program 90'!$A$7:$G$64,6)</f>
        <v>0.45603226382568168</v>
      </c>
      <c r="T54" s="9">
        <f>VLOOKUP(B54,'Program 90'!$A$7:$G$64,7)</f>
        <v>20952.962878787886</v>
      </c>
      <c r="U54" s="77">
        <f>(D54*VLOOKUP(B54,'FTE Allotment Factor'!$B$7:$H$64,7,FALSE)*Q54)+(D54*R54)</f>
        <v>9766398.9892716147</v>
      </c>
      <c r="V54" s="77">
        <f>((((E54-1)*VLOOKUP(B54,'FTE Allotment Factor'!$B$7:$H$64,7,FALSE))+(K54*N54))*S54)+(T54*E54)</f>
        <v>1679173.1180983777</v>
      </c>
      <c r="W54" s="95">
        <f t="shared" si="9"/>
        <v>11445572.107369993</v>
      </c>
      <c r="Y54" s="95">
        <f>F54*(VLOOKUP(A54, 'OE&amp;E by Cluster'!$B$6:$C$9,2,FALSE))</f>
        <v>4341766.748325536</v>
      </c>
      <c r="AA54" s="273">
        <f>'AB1058'!E52</f>
        <v>635648.23</v>
      </c>
      <c r="AB54" s="95">
        <f t="shared" si="10"/>
        <v>32364148.222190667</v>
      </c>
      <c r="AC54" s="96">
        <f t="shared" si="11"/>
        <v>1.175101854056936E-2</v>
      </c>
      <c r="AD54" s="58">
        <f t="shared" si="5"/>
        <v>150530.92196367751</v>
      </c>
    </row>
    <row r="55" spans="1:30" s="56" customFormat="1" ht="20.100000000000001" customHeight="1" x14ac:dyDescent="0.25">
      <c r="A55" s="69">
        <v>3</v>
      </c>
      <c r="B55" s="70" t="s">
        <v>49</v>
      </c>
      <c r="D55" s="71">
        <f>RAS!M55</f>
        <v>185</v>
      </c>
      <c r="E55" s="71">
        <f>RAS!Q55</f>
        <v>29</v>
      </c>
      <c r="F55" s="72">
        <f t="shared" si="8"/>
        <v>214</v>
      </c>
      <c r="H55" s="76">
        <f>(F55-1)*'AVG RAS salary'!$F$66</f>
        <v>14067842.600656766</v>
      </c>
      <c r="I55" s="76">
        <f>(F55-1)*(VLOOKUP(B55,'FTE Allotment Factor'!$B$6:$D$63,3))</f>
        <v>16632700.030986812</v>
      </c>
      <c r="J55" s="76">
        <f>(F55-1)*(VLOOKUP(B55,'FTE Allotment Factor'!$B$6:$H$63,7))</f>
        <v>16632700.030986812</v>
      </c>
      <c r="K55" s="273">
        <f>VLOOKUP(A55,'CEO Salary'!$G$7:$H$13,2)</f>
        <v>213653.64014246574</v>
      </c>
      <c r="L55" s="273">
        <f t="shared" si="12"/>
        <v>252607.09889177544</v>
      </c>
      <c r="N55" s="90">
        <f>VLOOKUP(B55,BLS!$B$5:$I$64,8, FALSE)</f>
        <v>1.1823205947875977</v>
      </c>
      <c r="O55" s="95">
        <f t="shared" si="7"/>
        <v>16885307.129878588</v>
      </c>
      <c r="Q55" s="92">
        <f>VLOOKUP(B55,'Program 10'!$A$7:$G$64,6)</f>
        <v>0.46421602134493739</v>
      </c>
      <c r="R55" s="9">
        <f>VLOOKUP(B55,'Program 10'!$A$7:$G$64,7)</f>
        <v>21095.871813471531</v>
      </c>
      <c r="S55" s="92">
        <f>VLOOKUP(B55,'Program 90'!$A$7:$G$64,6)</f>
        <v>0.46767435541480123</v>
      </c>
      <c r="T55" s="9">
        <f>VLOOKUP(B55,'Program 90'!$A$7:$G$64,7)</f>
        <v>23443.379999999997</v>
      </c>
      <c r="U55" s="77">
        <f>(D55*VLOOKUP(B55,'FTE Allotment Factor'!$B$7:$H$64,7,FALSE)*Q55)+(D55*R55)</f>
        <v>10608913.182358783</v>
      </c>
      <c r="V55" s="77">
        <f>((((E55-1)*VLOOKUP(B55,'FTE Allotment Factor'!$B$7:$H$64,7,FALSE))+(K55*N55))*S55)+(T55*E55)</f>
        <v>1820546.3208440621</v>
      </c>
      <c r="W55" s="95">
        <f t="shared" si="9"/>
        <v>12429459.503202844</v>
      </c>
      <c r="Y55" s="95">
        <f>F55*(VLOOKUP(A55, 'OE&amp;E by Cluster'!$B$6:$C$9,2,FALSE))</f>
        <v>4321572.4843798364</v>
      </c>
      <c r="AA55" s="273">
        <f>'AB1058'!E53</f>
        <v>764507.75</v>
      </c>
      <c r="AB55" s="95">
        <f t="shared" si="10"/>
        <v>32871831.367461272</v>
      </c>
      <c r="AC55" s="96">
        <f t="shared" si="11"/>
        <v>1.1935351958271327E-2</v>
      </c>
      <c r="AD55" s="58">
        <f t="shared" si="5"/>
        <v>153606.68863299661</v>
      </c>
    </row>
    <row r="56" spans="1:30" s="56" customFormat="1" ht="20.100000000000001" customHeight="1" x14ac:dyDescent="0.25">
      <c r="A56" s="69">
        <v>3</v>
      </c>
      <c r="B56" s="70" t="s">
        <v>50</v>
      </c>
      <c r="D56" s="71">
        <f>RAS!M56</f>
        <v>242</v>
      </c>
      <c r="E56" s="71">
        <f>RAS!Q56</f>
        <v>36</v>
      </c>
      <c r="F56" s="72">
        <f t="shared" si="8"/>
        <v>278</v>
      </c>
      <c r="H56" s="76">
        <f>(F56-1)*'AVG RAS salary'!$F$66</f>
        <v>18294800.001793072</v>
      </c>
      <c r="I56" s="76">
        <f>(F56-1)*(VLOOKUP(B56,'FTE Allotment Factor'!$B$6:$D$63,3))</f>
        <v>18772253.566865198</v>
      </c>
      <c r="J56" s="76">
        <f>(F56-1)*(VLOOKUP(B56,'FTE Allotment Factor'!$B$6:$H$63,7))</f>
        <v>18772253.566865198</v>
      </c>
      <c r="K56" s="273">
        <f>VLOOKUP(A56,'CEO Salary'!$G$7:$H$13,2)</f>
        <v>213653.64014246574</v>
      </c>
      <c r="L56" s="273">
        <f t="shared" si="12"/>
        <v>219229.52466520766</v>
      </c>
      <c r="N56" s="90">
        <f>VLOOKUP(B56,BLS!$B$5:$I$64,8, FALSE)</f>
        <v>1.0260977745056152</v>
      </c>
      <c r="O56" s="95">
        <f t="shared" si="7"/>
        <v>18991483.091530405</v>
      </c>
      <c r="Q56" s="92">
        <f>VLOOKUP(B56,'Program 10'!$A$7:$G$64,6)</f>
        <v>0.35842629552973337</v>
      </c>
      <c r="R56" s="9">
        <f>VLOOKUP(B56,'Program 10'!$A$7:$G$64,7)</f>
        <v>17571.979582874486</v>
      </c>
      <c r="S56" s="92">
        <f>VLOOKUP(B56,'Program 90'!$A$7:$G$64,6)</f>
        <v>0.36549689995144891</v>
      </c>
      <c r="T56" s="9">
        <f>VLOOKUP(B56,'Program 90'!$A$7:$G$64,7)</f>
        <v>19325.298823160989</v>
      </c>
      <c r="U56" s="77">
        <f>(D56*VLOOKUP(B56,'FTE Allotment Factor'!$B$7:$H$64,7,FALSE)*Q56)+(D56*R56)</f>
        <v>10130720.762092985</v>
      </c>
      <c r="V56" s="77">
        <f>((((E56-1)*VLOOKUP(B56,'FTE Allotment Factor'!$B$7:$H$64,7,FALSE))+(K56*N56))*S56)+(T56*E56)</f>
        <v>1642777.1585645261</v>
      </c>
      <c r="W56" s="95">
        <f t="shared" si="9"/>
        <v>11773497.920657512</v>
      </c>
      <c r="Y56" s="95">
        <f>F56*(VLOOKUP(A56, 'OE&amp;E by Cluster'!$B$6:$C$9,2,FALSE))</f>
        <v>5614005.3769046469</v>
      </c>
      <c r="AA56" s="273">
        <f>'AB1058'!E54</f>
        <v>1096937.99</v>
      </c>
      <c r="AB56" s="95">
        <f t="shared" si="10"/>
        <v>35282048.399092562</v>
      </c>
      <c r="AC56" s="96">
        <f t="shared" si="11"/>
        <v>1.2810471699753535E-2</v>
      </c>
      <c r="AD56" s="58">
        <f t="shared" si="5"/>
        <v>126913.84316220345</v>
      </c>
    </row>
    <row r="57" spans="1:30" s="56" customFormat="1" ht="20.100000000000001" customHeight="1" x14ac:dyDescent="0.25">
      <c r="A57" s="69">
        <v>2</v>
      </c>
      <c r="B57" s="70" t="s">
        <v>36</v>
      </c>
      <c r="D57" s="71">
        <f>RAS!M57</f>
        <v>59</v>
      </c>
      <c r="E57" s="71">
        <f>RAS!Q57</f>
        <v>12</v>
      </c>
      <c r="F57" s="72">
        <f t="shared" si="8"/>
        <v>71</v>
      </c>
      <c r="H57" s="76">
        <f>(F57-1)*'AVG RAS salary'!$F$66</f>
        <v>4623234.6574928341</v>
      </c>
      <c r="I57" s="76">
        <f>(F57-1)*(VLOOKUP(B57,'FTE Allotment Factor'!$B$6:$D$63,3))</f>
        <v>4530365.7968215337</v>
      </c>
      <c r="J57" s="76">
        <f>(F57-1)*(VLOOKUP(B57,'FTE Allotment Factor'!$B$6:$H$63,7))</f>
        <v>4530365.7968215337</v>
      </c>
      <c r="K57" s="273">
        <f>VLOOKUP(A57,'CEO Salary'!$G$7:$H$13,2)</f>
        <v>190157.45434750689</v>
      </c>
      <c r="L57" s="273">
        <f t="shared" si="12"/>
        <v>186337.6815170738</v>
      </c>
      <c r="N57" s="90">
        <f>VLOOKUP(B57,BLS!$B$5:$I$64,8, FALSE)</f>
        <v>0.97991257905960083</v>
      </c>
      <c r="O57" s="95">
        <f t="shared" si="7"/>
        <v>4716703.4783386076</v>
      </c>
      <c r="Q57" s="92">
        <f>VLOOKUP(B57,'Program 10'!$A$7:$G$64,6)</f>
        <v>0.38534576124762182</v>
      </c>
      <c r="R57" s="9">
        <f>VLOOKUP(B57,'Program 10'!$A$7:$G$64,7)</f>
        <v>20940.31794871794</v>
      </c>
      <c r="S57" s="92">
        <f>VLOOKUP(B57,'Program 90'!$A$7:$G$64,6)</f>
        <v>0.4017064636997344</v>
      </c>
      <c r="T57" s="9">
        <f>VLOOKUP(B57,'Program 90'!$A$7:$G$64,7)</f>
        <v>21502.691999999999</v>
      </c>
      <c r="U57" s="77">
        <f>(D57*VLOOKUP(B57,'FTE Allotment Factor'!$B$7:$H$64,7,FALSE)*Q57)+(D57*R57)</f>
        <v>2706902.732484024</v>
      </c>
      <c r="V57" s="77">
        <f>((((E57-1)*VLOOKUP(B57,'FTE Allotment Factor'!$B$7:$H$64,7,FALSE))+(K57*N57))*S57)+(T57*E57)</f>
        <v>618866.06164739514</v>
      </c>
      <c r="W57" s="95">
        <f t="shared" si="9"/>
        <v>3325768.7941314192</v>
      </c>
      <c r="Y57" s="95">
        <f>F57*(VLOOKUP(A57, 'OE&amp;E by Cluster'!$B$6:$C$9,2,FALSE))</f>
        <v>1433792.7401447119</v>
      </c>
      <c r="AA57" s="273">
        <f>'AB1058'!E55</f>
        <v>293144.22000000003</v>
      </c>
      <c r="AB57" s="95">
        <f t="shared" si="10"/>
        <v>9183120.7926147375</v>
      </c>
      <c r="AC57" s="96">
        <f t="shared" si="11"/>
        <v>3.3342766184810001E-3</v>
      </c>
      <c r="AD57" s="58">
        <f t="shared" si="5"/>
        <v>129339.72947344701</v>
      </c>
    </row>
    <row r="58" spans="1:30" s="56" customFormat="1" ht="20.100000000000001" customHeight="1" x14ac:dyDescent="0.25">
      <c r="A58" s="69">
        <v>2</v>
      </c>
      <c r="B58" s="70" t="s">
        <v>37</v>
      </c>
      <c r="D58" s="71">
        <f>RAS!M58</f>
        <v>49</v>
      </c>
      <c r="E58" s="71">
        <f>RAS!Q58</f>
        <v>10</v>
      </c>
      <c r="F58" s="72">
        <f t="shared" si="8"/>
        <v>59</v>
      </c>
      <c r="H58" s="76">
        <f>(F58-1)*'AVG RAS salary'!$F$66</f>
        <v>3830680.1447797767</v>
      </c>
      <c r="I58" s="76">
        <f>(F58-1)*(VLOOKUP(B58,'FTE Allotment Factor'!$B$6:$D$63,3))</f>
        <v>3015105.3463895656</v>
      </c>
      <c r="J58" s="76">
        <f>(F58-1)*(VLOOKUP(B58,'FTE Allotment Factor'!$B$6:$H$63,7))</f>
        <v>3015105.3463895656</v>
      </c>
      <c r="K58" s="273">
        <f>VLOOKUP(A58,'CEO Salary'!$G$7:$H$13,2)</f>
        <v>190157.45434750689</v>
      </c>
      <c r="L58" s="273">
        <f t="shared" si="12"/>
        <v>149671.79080203761</v>
      </c>
      <c r="N58" s="90">
        <f>VLOOKUP(B58,BLS!$B$5:$I$64,8, FALSE)</f>
        <v>0.78709399700164795</v>
      </c>
      <c r="O58" s="95">
        <f t="shared" si="7"/>
        <v>3164777.1371916034</v>
      </c>
      <c r="Q58" s="92">
        <f>VLOOKUP(B58,'Program 10'!$A$7:$G$64,6)</f>
        <v>0.30573105489720814</v>
      </c>
      <c r="R58" s="9">
        <f>VLOOKUP(B58,'Program 10'!$A$7:$G$64,7)</f>
        <v>19581.54246334311</v>
      </c>
      <c r="S58" s="92">
        <f>VLOOKUP(B58,'Program 90'!$A$7:$G$64,6)</f>
        <v>0.31253620883218081</v>
      </c>
      <c r="T58" s="9">
        <f>VLOOKUP(B58,'Program 90'!$A$7:$G$64,7)</f>
        <v>20283.579999999994</v>
      </c>
      <c r="U58" s="77">
        <f>(D58*VLOOKUP(B58,'FTE Allotment Factor'!$B$7:$H$64,7,FALSE)*Q58)+(D58*R58)</f>
        <v>1738267.2284747919</v>
      </c>
      <c r="V58" s="77">
        <f>((((E58-1)*VLOOKUP(B58,'FTE Allotment Factor'!$B$7:$H$64,7,FALSE))+(K58*N58))*S58)+(T58*E58)</f>
        <v>395837.21178556629</v>
      </c>
      <c r="W58" s="95">
        <f t="shared" si="9"/>
        <v>2134104.4402603582</v>
      </c>
      <c r="Y58" s="95">
        <f>F58*(VLOOKUP(A58, 'OE&amp;E by Cluster'!$B$6:$C$9,2,FALSE))</f>
        <v>1191461.5727963098</v>
      </c>
      <c r="AA58" s="273">
        <f>'AB1058'!E56</f>
        <v>181076.8</v>
      </c>
      <c r="AB58" s="95">
        <f t="shared" si="10"/>
        <v>6309266.3502482707</v>
      </c>
      <c r="AC58" s="96">
        <f t="shared" si="11"/>
        <v>2.2908159161229855E-3</v>
      </c>
      <c r="AD58" s="58">
        <f t="shared" si="5"/>
        <v>106936.71780081815</v>
      </c>
    </row>
    <row r="59" spans="1:30" s="56" customFormat="1" ht="20.100000000000001" customHeight="1" x14ac:dyDescent="0.25">
      <c r="A59" s="69">
        <v>1</v>
      </c>
      <c r="B59" s="70" t="s">
        <v>18</v>
      </c>
      <c r="D59" s="71">
        <f>RAS!M59</f>
        <v>12</v>
      </c>
      <c r="E59" s="71">
        <f>RAS!Q59</f>
        <v>5</v>
      </c>
      <c r="F59" s="72">
        <f t="shared" si="8"/>
        <v>17</v>
      </c>
      <c r="H59" s="76">
        <f>(F59-1)*'AVG RAS salary'!$F$66</f>
        <v>1056739.3502840763</v>
      </c>
      <c r="I59" s="76">
        <f>(F59-1)*(VLOOKUP(B59,'FTE Allotment Factor'!$B$6:$D$63,3))</f>
        <v>734166.21093784389</v>
      </c>
      <c r="J59" s="76">
        <f>(F59-1)*(VLOOKUP(B59,'FTE Allotment Factor'!$B$6:$H$63,7))</f>
        <v>800317.85985479481</v>
      </c>
      <c r="K59" s="273">
        <f>VLOOKUP(A59,'CEO Salary'!$G$7:$H$13,2)</f>
        <v>127124.65839999999</v>
      </c>
      <c r="L59" s="273">
        <f>IF(N59&lt;&gt;0,N59*K59,K59)</f>
        <v>88319.441070502653</v>
      </c>
      <c r="N59" s="90">
        <f>VLOOKUP(B59,BLS!$B$5:$I$64,8, FALSE)</f>
        <v>0.69474673271179199</v>
      </c>
      <c r="O59" s="95">
        <f t="shared" si="7"/>
        <v>888637.30092529743</v>
      </c>
      <c r="Q59" s="92">
        <f>VLOOKUP(B59,'Program 10'!$A$7:$G$64,6)</f>
        <v>0.42043130012346486</v>
      </c>
      <c r="R59" s="9">
        <f>VLOOKUP(B59,'Program 10'!$A$7:$G$64,7)</f>
        <v>10176.31773399015</v>
      </c>
      <c r="S59" s="92">
        <f>VLOOKUP(B59,'Program 90'!$A$7:$G$64,6)</f>
        <v>0.48161999999999999</v>
      </c>
      <c r="T59" s="9">
        <f>VLOOKUP(B59,'Program 90'!$A$7:$G$64,7)</f>
        <v>10639.907692307692</v>
      </c>
      <c r="U59" s="77">
        <f>(D59*VLOOKUP(B59,'FTE Allotment Factor'!$B$7:$H$64,7,FALSE)*Q59)+(D59*R59)</f>
        <v>374474.82155596698</v>
      </c>
      <c r="V59" s="77">
        <f>((((E59-1)*VLOOKUP(B59,'FTE Allotment Factor'!$B$7:$H$64,7,FALSE))+(K59*N59))*S59)+(T59*E59)</f>
        <v>192098.21958573055</v>
      </c>
      <c r="W59" s="95">
        <f t="shared" si="9"/>
        <v>566573.04114169755</v>
      </c>
      <c r="Y59" s="95">
        <f>F59*(VLOOKUP(A59, 'OE&amp;E by Cluster'!$B$6:$C$9,2,FALSE))</f>
        <v>502166.68616192514</v>
      </c>
      <c r="AA59" s="273">
        <f>'AB1058'!E57</f>
        <v>0</v>
      </c>
      <c r="AB59" s="95">
        <f t="shared" si="10"/>
        <v>1957377.02822892</v>
      </c>
      <c r="AC59" s="96">
        <f t="shared" si="11"/>
        <v>7.1069918453258427E-4</v>
      </c>
      <c r="AD59" s="58">
        <f t="shared" si="5"/>
        <v>115139.82518993647</v>
      </c>
    </row>
    <row r="60" spans="1:30" s="56" customFormat="1" ht="20.100000000000001" customHeight="1" x14ac:dyDescent="0.25">
      <c r="A60" s="69">
        <v>3</v>
      </c>
      <c r="B60" s="70" t="s">
        <v>51</v>
      </c>
      <c r="D60" s="71">
        <f>RAS!M60</f>
        <v>232</v>
      </c>
      <c r="E60" s="71">
        <f>RAS!Q60</f>
        <v>36</v>
      </c>
      <c r="F60" s="72">
        <f t="shared" si="8"/>
        <v>268</v>
      </c>
      <c r="H60" s="76">
        <f>(F60-1)*'AVG RAS salary'!$F$66</f>
        <v>17634337.907865524</v>
      </c>
      <c r="I60" s="76">
        <f>(F60-1)*(VLOOKUP(B60,'FTE Allotment Factor'!$B$6:$D$63,3))</f>
        <v>16786047.517041203</v>
      </c>
      <c r="J60" s="76">
        <f>(F60-1)*(VLOOKUP(B60,'FTE Allotment Factor'!$B$6:$H$63,7))</f>
        <v>16786047.517041203</v>
      </c>
      <c r="K60" s="273">
        <f>VLOOKUP(A60,'CEO Salary'!$G$7:$H$13,2)</f>
        <v>213653.64014246574</v>
      </c>
      <c r="L60" s="273">
        <f t="shared" ref="L60:L64" si="13">IF(N60&lt;&gt;0,N60*K60,K60)</f>
        <v>203375.94608644725</v>
      </c>
      <c r="N60" s="90">
        <f>VLOOKUP(B60,BLS!$B$5:$I$64,8, FALSE)</f>
        <v>0.95189553499221802</v>
      </c>
      <c r="O60" s="95">
        <f t="shared" si="7"/>
        <v>16989423.46312765</v>
      </c>
      <c r="Q60" s="92">
        <f>VLOOKUP(B60,'Program 10'!$A$7:$G$64,6)</f>
        <v>0.29412973502817596</v>
      </c>
      <c r="R60" s="9">
        <f>VLOOKUP(B60,'Program 10'!$A$7:$G$64,7)</f>
        <v>26273.368827930157</v>
      </c>
      <c r="S60" s="92">
        <f>VLOOKUP(B60,'Program 90'!$A$7:$G$64,6)</f>
        <v>0.29571670075529205</v>
      </c>
      <c r="T60" s="9">
        <f>VLOOKUP(B60,'Program 90'!$A$7:$G$64,7)</f>
        <v>28015.219272727267</v>
      </c>
      <c r="U60" s="77">
        <f>(D60*VLOOKUP(B60,'FTE Allotment Factor'!$B$7:$H$64,7,FALSE)*Q60)+(D60*R60)</f>
        <v>10385488.850248285</v>
      </c>
      <c r="V60" s="77">
        <f>((((E60-1)*VLOOKUP(B60,'FTE Allotment Factor'!$B$7:$H$64,7,FALSE))+(K60*N60))*S60)+(T60*E60)</f>
        <v>1719389.9720877565</v>
      </c>
      <c r="W60" s="95">
        <f t="shared" si="9"/>
        <v>12104878.82233604</v>
      </c>
      <c r="Y60" s="95">
        <f>F60*(VLOOKUP(A60, 'OE&amp;E by Cluster'!$B$6:$C$9,2,FALSE))</f>
        <v>5412062.7374476446</v>
      </c>
      <c r="AA60" s="273">
        <f>'AB1058'!E58</f>
        <v>925639.49</v>
      </c>
      <c r="AB60" s="95">
        <f t="shared" si="10"/>
        <v>33580725.53291133</v>
      </c>
      <c r="AC60" s="96">
        <f t="shared" si="11"/>
        <v>1.2192742587689882E-2</v>
      </c>
      <c r="AD60" s="58">
        <f t="shared" si="5"/>
        <v>125301.21467504228</v>
      </c>
    </row>
    <row r="61" spans="1:30" s="56" customFormat="1" ht="20.100000000000001" customHeight="1" x14ac:dyDescent="0.25">
      <c r="A61" s="69">
        <v>2</v>
      </c>
      <c r="B61" s="70" t="s">
        <v>38</v>
      </c>
      <c r="D61" s="71">
        <f>RAS!M61</f>
        <v>38</v>
      </c>
      <c r="E61" s="71">
        <f>RAS!Q61</f>
        <v>8</v>
      </c>
      <c r="F61" s="72">
        <f t="shared" si="8"/>
        <v>46</v>
      </c>
      <c r="H61" s="76">
        <f>(F61-1)*'AVG RAS salary'!$F$66</f>
        <v>2972079.4226739644</v>
      </c>
      <c r="I61" s="76">
        <f>(F61-1)*(VLOOKUP(B61,'FTE Allotment Factor'!$B$6:$D$63,3))</f>
        <v>2435139.9832884669</v>
      </c>
      <c r="J61" s="76">
        <f>(F61-1)*(VLOOKUP(B61,'FTE Allotment Factor'!$B$6:$H$63,7))</f>
        <v>2435139.9832884669</v>
      </c>
      <c r="K61" s="273">
        <f>VLOOKUP(A61,'CEO Salary'!$G$7:$H$13,2)</f>
        <v>190157.45434750689</v>
      </c>
      <c r="L61" s="273">
        <f t="shared" si="13"/>
        <v>155803.38017526886</v>
      </c>
      <c r="N61" s="90">
        <f>VLOOKUP(B61,BLS!$B$5:$I$64,8, FALSE)</f>
        <v>0.81933879852294922</v>
      </c>
      <c r="O61" s="95">
        <f t="shared" si="7"/>
        <v>2590943.3634637357</v>
      </c>
      <c r="Q61" s="92">
        <f>VLOOKUP(B61,'Program 10'!$A$7:$G$64,6)</f>
        <v>0.29366437325515166</v>
      </c>
      <c r="R61" s="9">
        <f>VLOOKUP(B61,'Program 10'!$A$7:$G$64,7)</f>
        <v>21004.02606557378</v>
      </c>
      <c r="S61" s="92">
        <f>VLOOKUP(B61,'Program 90'!$A$7:$G$64,6)</f>
        <v>0.3173790503597122</v>
      </c>
      <c r="T61" s="9">
        <f>VLOOKUP(B61,'Program 90'!$A$7:$G$64,7)</f>
        <v>21482.21</v>
      </c>
      <c r="U61" s="77">
        <f>(D61*VLOOKUP(B61,'FTE Allotment Factor'!$B$7:$H$64,7,FALSE)*Q61)+(D61*R61)</f>
        <v>1402026.9141646212</v>
      </c>
      <c r="V61" s="77">
        <f>((((E61-1)*VLOOKUP(B61,'FTE Allotment Factor'!$B$7:$H$64,7,FALSE))+(K61*N61))*S61)+(T61*E61)</f>
        <v>341529.45123671368</v>
      </c>
      <c r="W61" s="95">
        <f t="shared" si="9"/>
        <v>1743556.3654013348</v>
      </c>
      <c r="Y61" s="95">
        <f>F61*(VLOOKUP(A61, 'OE&amp;E by Cluster'!$B$6:$C$9,2,FALSE))</f>
        <v>928936.14150220773</v>
      </c>
      <c r="AA61" s="273">
        <f>'AB1058'!E59</f>
        <v>273694.55</v>
      </c>
      <c r="AB61" s="95">
        <f t="shared" si="10"/>
        <v>4989741.3203672785</v>
      </c>
      <c r="AC61" s="96">
        <f t="shared" si="11"/>
        <v>1.8117128362450711E-3</v>
      </c>
      <c r="AD61" s="58">
        <f t="shared" si="5"/>
        <v>108472.63739928867</v>
      </c>
    </row>
    <row r="62" spans="1:30" s="56" customFormat="1" ht="20.100000000000001" customHeight="1" x14ac:dyDescent="0.25">
      <c r="A62" s="69">
        <v>3</v>
      </c>
      <c r="B62" s="70" t="s">
        <v>52</v>
      </c>
      <c r="D62" s="71">
        <f>RAS!M62</f>
        <v>303</v>
      </c>
      <c r="E62" s="71">
        <f>RAS!Q62</f>
        <v>54</v>
      </c>
      <c r="F62" s="72">
        <f t="shared" si="8"/>
        <v>357</v>
      </c>
      <c r="H62" s="76">
        <f>(F62-1)*'AVG RAS salary'!$F$66</f>
        <v>23512450.543820698</v>
      </c>
      <c r="I62" s="76">
        <f>(F62-1)*(VLOOKUP(B62,'FTE Allotment Factor'!$B$6:$D$63,3))</f>
        <v>29354136.658561926</v>
      </c>
      <c r="J62" s="76">
        <f>(F62-1)*(VLOOKUP(B62,'FTE Allotment Factor'!$B$6:$H$63,7))</f>
        <v>29354136.658561926</v>
      </c>
      <c r="K62" s="273">
        <f>VLOOKUP(A62,'CEO Salary'!$G$7:$H$13,2)</f>
        <v>213653.64014246574</v>
      </c>
      <c r="L62" s="273">
        <f t="shared" si="13"/>
        <v>266736.04857360962</v>
      </c>
      <c r="N62" s="90">
        <f>VLOOKUP(B62,BLS!$B$5:$I$64,8, FALSE)</f>
        <v>1.248450756072998</v>
      </c>
      <c r="O62" s="95">
        <f t="shared" si="7"/>
        <v>29620872.707135536</v>
      </c>
      <c r="Q62" s="92">
        <f>VLOOKUP(B62,'Program 10'!$A$7:$G$64,6)</f>
        <v>0.32762402727174122</v>
      </c>
      <c r="R62" s="9">
        <f>VLOOKUP(B62,'Program 10'!$A$7:$G$64,7)</f>
        <v>13657.737883357951</v>
      </c>
      <c r="S62" s="92">
        <f>VLOOKUP(B62,'Program 90'!$A$7:$G$64,6)</f>
        <v>0.34729525093600699</v>
      </c>
      <c r="T62" s="9">
        <f>VLOOKUP(B62,'Program 90'!$A$7:$G$64,7)</f>
        <v>16114.111205745492</v>
      </c>
      <c r="U62" s="77">
        <f>(D62*VLOOKUP(B62,'FTE Allotment Factor'!$B$7:$H$64,7,FALSE)*Q62)+(D62*R62)</f>
        <v>12323652.730782242</v>
      </c>
      <c r="V62" s="77">
        <f>((((E62-1)*VLOOKUP(B62,'FTE Allotment Factor'!$B$7:$H$64,7,FALSE))+(K62*N62))*S62)+(T62*E62)</f>
        <v>2480526.4534624945</v>
      </c>
      <c r="W62" s="95">
        <f t="shared" si="9"/>
        <v>14804179.184244737</v>
      </c>
      <c r="Y62" s="95">
        <f>F62*(VLOOKUP(A62, 'OE&amp;E by Cluster'!$B$6:$C$9,2,FALSE))</f>
        <v>7209352.2286149599</v>
      </c>
      <c r="AA62" s="273">
        <f>'AB1058'!E60</f>
        <v>732652.36</v>
      </c>
      <c r="AB62" s="95">
        <f t="shared" si="10"/>
        <v>50901751.759995237</v>
      </c>
      <c r="AC62" s="96">
        <f t="shared" si="11"/>
        <v>1.8481791165109045E-2</v>
      </c>
      <c r="AD62" s="58">
        <f t="shared" si="5"/>
        <v>142581.9377030679</v>
      </c>
    </row>
    <row r="63" spans="1:30" s="56" customFormat="1" ht="20.100000000000001" customHeight="1" x14ac:dyDescent="0.25">
      <c r="A63" s="69">
        <v>2</v>
      </c>
      <c r="B63" s="70" t="s">
        <v>39</v>
      </c>
      <c r="D63" s="71">
        <f>RAS!M63</f>
        <v>106</v>
      </c>
      <c r="E63" s="71">
        <f>RAS!Q63</f>
        <v>22</v>
      </c>
      <c r="F63" s="72">
        <f t="shared" si="8"/>
        <v>128</v>
      </c>
      <c r="H63" s="76">
        <f>(F63-1)*'AVG RAS salary'!$F$66</f>
        <v>8387868.592879856</v>
      </c>
      <c r="I63" s="76">
        <f>(F63-1)*(VLOOKUP(B63,'FTE Allotment Factor'!$B$6:$D$63,3))</f>
        <v>9111514.8020426948</v>
      </c>
      <c r="J63" s="76">
        <f>(F63-1)*(VLOOKUP(B63,'FTE Allotment Factor'!$B$6:$H$63,7))</f>
        <v>9111514.8020426948</v>
      </c>
      <c r="K63" s="273">
        <f>VLOOKUP(A63,'CEO Salary'!$G$7:$H$13,2)</f>
        <v>190157.45434750689</v>
      </c>
      <c r="L63" s="273">
        <f t="shared" si="13"/>
        <v>206562.89983808581</v>
      </c>
      <c r="N63" s="90">
        <f>VLOOKUP(B63,BLS!$B$5:$I$64,8, FALSE)</f>
        <v>1.0862729549407959</v>
      </c>
      <c r="O63" s="95">
        <f t="shared" si="7"/>
        <v>9318077.701880781</v>
      </c>
      <c r="Q63" s="92">
        <f>VLOOKUP(B63,'Program 10'!$A$7:$G$64,6)</f>
        <v>0.34826615099479336</v>
      </c>
      <c r="R63" s="9">
        <f>VLOOKUP(B63,'Program 10'!$A$7:$G$64,7)</f>
        <v>19754.658181818173</v>
      </c>
      <c r="S63" s="92">
        <f>VLOOKUP(B63,'Program 90'!$A$7:$G$64,6)</f>
        <v>0.39447981872484089</v>
      </c>
      <c r="T63" s="9">
        <f>VLOOKUP(B63,'Program 90'!$A$7:$G$64,7)</f>
        <v>27256.11</v>
      </c>
      <c r="U63" s="77">
        <f>(D63*VLOOKUP(B63,'FTE Allotment Factor'!$B$7:$H$64,7,FALSE)*Q63)+(D63*R63)</f>
        <v>4742518.272178133</v>
      </c>
      <c r="V63" s="77">
        <f>((((E63-1)*VLOOKUP(B63,'FTE Allotment Factor'!$B$7:$H$64,7,FALSE))+(K63*N63))*S63)+(T63*E63)</f>
        <v>1275453.8259589067</v>
      </c>
      <c r="W63" s="95">
        <f t="shared" si="9"/>
        <v>6017972.0981370397</v>
      </c>
      <c r="Y63" s="95">
        <f>F63*(VLOOKUP(A63, 'OE&amp;E by Cluster'!$B$6:$C$9,2,FALSE))</f>
        <v>2584865.7850496215</v>
      </c>
      <c r="AA63" s="273">
        <f>'AB1058'!E61</f>
        <v>312960.25</v>
      </c>
      <c r="AB63" s="95">
        <f t="shared" si="10"/>
        <v>17607955.335067444</v>
      </c>
      <c r="AC63" s="96">
        <f t="shared" si="11"/>
        <v>6.3932289576533541E-3</v>
      </c>
      <c r="AD63" s="58">
        <f t="shared" si="5"/>
        <v>137562.1510552144</v>
      </c>
    </row>
    <row r="64" spans="1:30" s="56" customFormat="1" ht="20.100000000000001" customHeight="1" x14ac:dyDescent="0.25">
      <c r="A64" s="69">
        <v>2</v>
      </c>
      <c r="B64" s="70" t="s">
        <v>40</v>
      </c>
      <c r="D64" s="71">
        <f>RAS!M64</f>
        <v>43</v>
      </c>
      <c r="E64" s="71">
        <f>RAS!Q64</f>
        <v>9</v>
      </c>
      <c r="F64" s="72">
        <f t="shared" si="8"/>
        <v>52</v>
      </c>
      <c r="H64" s="76">
        <f>(F64-1)*'AVG RAS salary'!$F$66</f>
        <v>3368356.6790304934</v>
      </c>
      <c r="I64" s="76">
        <f>(F64-1)*(VLOOKUP(B64,'FTE Allotment Factor'!$B$6:$D$63,3))</f>
        <v>3200640.6958078714</v>
      </c>
      <c r="J64" s="76">
        <f>(F64-1)*(VLOOKUP(B64,'FTE Allotment Factor'!$B$6:$H$63,7))</f>
        <v>3200640.6958078714</v>
      </c>
      <c r="K64" s="273">
        <f>VLOOKUP(A64,'CEO Salary'!$G$7:$H$13,2)</f>
        <v>190157.45434750689</v>
      </c>
      <c r="L64" s="273">
        <f t="shared" si="13"/>
        <v>180689.2039625202</v>
      </c>
      <c r="N64" s="90">
        <f>VLOOKUP(B64,BLS!$B$5:$I$64,8, FALSE)</f>
        <v>0.95020836591720581</v>
      </c>
      <c r="O64" s="95">
        <f>J64+L64</f>
        <v>3381329.8997703916</v>
      </c>
      <c r="Q64" s="92">
        <f>VLOOKUP(B64,'Program 10'!$A$7:$G$64,6)</f>
        <v>0.1045561473357164</v>
      </c>
      <c r="R64" s="9">
        <f>VLOOKUP(B64,'Program 10'!$A$7:$G$64,7)</f>
        <v>12771.613069053712</v>
      </c>
      <c r="S64" s="92">
        <f>VLOOKUP(B64,'Program 90'!$A$7:$G$64,6)</f>
        <v>0.10568999999999999</v>
      </c>
      <c r="T64" s="9">
        <f>VLOOKUP(B64,'Program 90'!$A$7:$G$64,7)</f>
        <v>15601.959999999997</v>
      </c>
      <c r="U64" s="77">
        <f>(D64*VLOOKUP(B64,'FTE Allotment Factor'!$B$7:$H$64,7,FALSE)*Q64)+(D64*R64)</f>
        <v>831332.42837836524</v>
      </c>
      <c r="V64" s="77">
        <f>((((E64-1)*VLOOKUP(B64,'FTE Allotment Factor'!$B$7:$H$64,7,FALSE))+(K64*N64))*S64)+(T64*E64)</f>
        <v>212577.53924365112</v>
      </c>
      <c r="W64" s="95">
        <f t="shared" si="9"/>
        <v>1043909.9676220163</v>
      </c>
      <c r="Y64" s="95">
        <f>F64*(VLOOKUP(A64, 'OE&amp;E by Cluster'!$B$6:$C$9,2,FALSE))</f>
        <v>1050101.7251764087</v>
      </c>
      <c r="AA64" s="273">
        <f>'AB1058'!E62</f>
        <v>324912.51</v>
      </c>
      <c r="AB64" s="95">
        <f t="shared" si="10"/>
        <v>5150429.0825688168</v>
      </c>
      <c r="AC64" s="96">
        <f t="shared" si="11"/>
        <v>1.8700565584375863E-3</v>
      </c>
      <c r="AD64" s="58">
        <f t="shared" si="5"/>
        <v>99046.713126323404</v>
      </c>
    </row>
    <row r="65" spans="1:30" s="56" customFormat="1" ht="20.100000000000001" customHeight="1" thickBot="1" x14ac:dyDescent="0.3">
      <c r="A65" s="52"/>
      <c r="B65" s="103" t="s">
        <v>62</v>
      </c>
      <c r="D65" s="73">
        <f>SUM(D7:D64)</f>
        <v>15943</v>
      </c>
      <c r="E65" s="73">
        <f>SUM(E7:E64)</f>
        <v>2631</v>
      </c>
      <c r="F65" s="73">
        <f>SUM(F7:F64)</f>
        <v>18574</v>
      </c>
      <c r="H65" s="104"/>
      <c r="I65" s="104"/>
      <c r="J65" s="104"/>
      <c r="K65" s="104"/>
      <c r="L65" s="82">
        <f>SUM(L7:L64)</f>
        <v>11471250.751031594</v>
      </c>
      <c r="N65" s="62"/>
      <c r="O65" s="82">
        <f>SUM(O7:O64)</f>
        <v>1510956035.5003853</v>
      </c>
      <c r="Q65" s="59"/>
      <c r="R65" s="59"/>
      <c r="S65" s="59"/>
      <c r="T65" s="59"/>
      <c r="U65" s="91">
        <f>SUM(U7:U64)</f>
        <v>778434366.65681851</v>
      </c>
      <c r="V65" s="91">
        <f>SUM(V7:V64)</f>
        <v>135853440.74682227</v>
      </c>
      <c r="W65" s="91">
        <f>SUM(W7:W64)</f>
        <v>914287807.40364075</v>
      </c>
      <c r="Y65" s="91">
        <f t="shared" ref="Y65" si="14">SUM(Y7:Y64)</f>
        <v>377798294.86476767</v>
      </c>
      <c r="AA65" s="91">
        <f>SUM(AA7:AA64)</f>
        <v>48885286.560000002</v>
      </c>
      <c r="AB65" s="91">
        <f>SUM(AB7:AB64)</f>
        <v>2754156851.2087941</v>
      </c>
      <c r="AC65" s="98">
        <f t="shared" ref="AC65" si="15">SUM(AC7:AC64)</f>
        <v>1</v>
      </c>
      <c r="AD65" s="58"/>
    </row>
    <row r="66" spans="1:30" s="56" customFormat="1" thickTop="1" x14ac:dyDescent="0.25">
      <c r="A66" s="52"/>
      <c r="D66" s="57"/>
      <c r="E66" s="57"/>
      <c r="F66" s="57"/>
      <c r="H66" s="59"/>
      <c r="I66" s="59"/>
      <c r="J66" s="59"/>
      <c r="K66" s="58"/>
      <c r="L66" s="181"/>
      <c r="N66" s="58"/>
      <c r="O66" s="181"/>
      <c r="Q66" s="59"/>
      <c r="R66" s="59"/>
      <c r="S66" s="59"/>
      <c r="T66" s="59"/>
      <c r="U66" s="59"/>
      <c r="V66" s="59"/>
      <c r="W66" s="58"/>
      <c r="Y66" s="58"/>
      <c r="AA66" s="58"/>
      <c r="AB66" s="182"/>
      <c r="AC66" s="63"/>
      <c r="AD66" s="58"/>
    </row>
    <row r="67" spans="1:30" s="56" customFormat="1" ht="20.100000000000001" customHeight="1" x14ac:dyDescent="0.25">
      <c r="B67" s="64" t="s">
        <v>239</v>
      </c>
      <c r="C67" s="64"/>
      <c r="D67" s="64"/>
      <c r="E67" s="64"/>
      <c r="F67" s="64"/>
      <c r="G67" s="64"/>
      <c r="H67" s="64"/>
      <c r="I67" s="64"/>
      <c r="J67" s="64"/>
      <c r="K67" s="64"/>
      <c r="L67" s="64"/>
      <c r="M67" s="64"/>
      <c r="N67" s="64"/>
      <c r="O67" s="64"/>
      <c r="P67" s="64"/>
      <c r="Q67" s="64"/>
      <c r="R67" s="64"/>
      <c r="S67" s="64"/>
      <c r="T67" s="64"/>
      <c r="U67" s="266"/>
      <c r="V67" s="64"/>
      <c r="W67" s="64"/>
      <c r="X67" s="64"/>
      <c r="Y67" s="267"/>
      <c r="Z67" s="64"/>
      <c r="AA67" s="268"/>
      <c r="AB67" s="269"/>
      <c r="AC67" s="270"/>
      <c r="AD67" s="58"/>
    </row>
    <row r="68" spans="1:30" s="56" customFormat="1" ht="20.100000000000001" customHeight="1" x14ac:dyDescent="0.25">
      <c r="B68" s="263" t="s">
        <v>251</v>
      </c>
      <c r="C68" s="64"/>
      <c r="D68" s="64"/>
      <c r="E68" s="64"/>
      <c r="F68" s="64"/>
      <c r="G68" s="64"/>
      <c r="H68" s="64"/>
      <c r="I68" s="64"/>
      <c r="J68" s="64"/>
      <c r="K68" s="64"/>
      <c r="L68" s="64"/>
      <c r="M68" s="64"/>
      <c r="N68" s="64"/>
      <c r="O68" s="64"/>
      <c r="P68" s="64"/>
      <c r="Q68" s="64"/>
      <c r="R68" s="64"/>
      <c r="S68" s="64"/>
      <c r="T68" s="64"/>
      <c r="U68" s="266"/>
      <c r="V68" s="64"/>
      <c r="W68" s="64"/>
      <c r="X68" s="64"/>
      <c r="Y68" s="267"/>
      <c r="Z68" s="64"/>
      <c r="AA68" s="268"/>
      <c r="AB68" s="298"/>
      <c r="AC68" s="270"/>
      <c r="AD68" s="58"/>
    </row>
    <row r="69" spans="1:30" s="56" customFormat="1" ht="20.100000000000001" customHeight="1" x14ac:dyDescent="0.25">
      <c r="B69" s="263" t="s">
        <v>252</v>
      </c>
      <c r="C69" s="263"/>
      <c r="D69" s="263"/>
      <c r="E69" s="263"/>
      <c r="F69" s="263"/>
      <c r="G69" s="263"/>
      <c r="H69" s="263"/>
      <c r="I69" s="263"/>
      <c r="J69" s="263"/>
      <c r="K69" s="263"/>
      <c r="L69" s="263"/>
      <c r="M69" s="263"/>
      <c r="N69" s="263"/>
      <c r="O69" s="263"/>
      <c r="P69" s="64"/>
      <c r="Q69" s="64"/>
      <c r="R69" s="64"/>
      <c r="S69" s="64"/>
      <c r="T69" s="64"/>
      <c r="U69" s="266"/>
      <c r="V69" s="64"/>
      <c r="W69" s="64"/>
      <c r="X69" s="64"/>
      <c r="Y69" s="267"/>
      <c r="Z69" s="64"/>
      <c r="AA69" s="268"/>
      <c r="AB69" s="269"/>
      <c r="AC69" s="270"/>
      <c r="AD69" s="58"/>
    </row>
    <row r="70" spans="1:30" s="56" customFormat="1" ht="17.45" customHeight="1" x14ac:dyDescent="0.25">
      <c r="B70" s="64" t="s">
        <v>253</v>
      </c>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58"/>
    </row>
    <row r="71" spans="1:30" ht="35.1" customHeight="1" x14ac:dyDescent="0.25">
      <c r="B71" s="301" t="s">
        <v>240</v>
      </c>
      <c r="C71" s="301"/>
      <c r="D71" s="301"/>
      <c r="E71" s="301"/>
      <c r="F71" s="301"/>
      <c r="G71" s="301"/>
      <c r="H71" s="301"/>
      <c r="I71" s="301"/>
      <c r="J71" s="301"/>
      <c r="K71" s="301"/>
      <c r="L71" s="301"/>
      <c r="M71" s="301"/>
      <c r="N71" s="301"/>
      <c r="O71" s="301"/>
      <c r="P71" s="301"/>
      <c r="Q71" s="301"/>
      <c r="R71" s="301"/>
      <c r="S71" s="301"/>
      <c r="T71" s="301"/>
      <c r="U71" s="301"/>
      <c r="V71" s="301"/>
      <c r="W71" s="301"/>
      <c r="X71" s="301"/>
      <c r="Y71" s="301"/>
      <c r="Z71" s="301"/>
      <c r="AA71" s="301"/>
      <c r="AB71" s="301"/>
      <c r="AC71" s="301"/>
    </row>
    <row r="72" spans="1:30" ht="18.600000000000001" customHeight="1" x14ac:dyDescent="0.25">
      <c r="B72" s="64" t="s">
        <v>241</v>
      </c>
      <c r="C72" s="64"/>
      <c r="D72" s="64"/>
      <c r="E72" s="64"/>
      <c r="F72" s="64"/>
      <c r="G72" s="64"/>
      <c r="H72" s="64"/>
      <c r="I72" s="64"/>
      <c r="J72" s="64"/>
      <c r="K72" s="64"/>
      <c r="L72" s="64"/>
      <c r="M72" s="64"/>
      <c r="N72" s="64"/>
      <c r="O72" s="64"/>
      <c r="P72" s="64"/>
      <c r="Q72" s="64"/>
      <c r="R72" s="64"/>
      <c r="S72" s="64"/>
      <c r="T72" s="64"/>
      <c r="U72" s="64"/>
      <c r="V72" s="64"/>
      <c r="W72" s="271"/>
      <c r="X72" s="64"/>
      <c r="Y72" s="64"/>
      <c r="Z72" s="64"/>
      <c r="AA72" s="64"/>
      <c r="AB72" s="269"/>
      <c r="AC72" s="64"/>
    </row>
    <row r="73" spans="1:30" s="56" customFormat="1" ht="24.95" customHeight="1" x14ac:dyDescent="0.25">
      <c r="A73" s="64"/>
      <c r="B73" s="64" t="s">
        <v>242</v>
      </c>
      <c r="C73" s="297"/>
      <c r="D73" s="297"/>
      <c r="E73" s="297"/>
      <c r="F73" s="297"/>
      <c r="G73" s="297"/>
      <c r="H73" s="297"/>
      <c r="I73" s="297"/>
      <c r="J73" s="64"/>
      <c r="K73" s="272"/>
      <c r="L73" s="64"/>
      <c r="M73" s="64"/>
      <c r="N73" s="64"/>
      <c r="O73" s="64"/>
      <c r="P73" s="64"/>
      <c r="Q73" s="64"/>
      <c r="R73" s="64"/>
      <c r="S73" s="64"/>
      <c r="T73" s="64"/>
      <c r="U73" s="266"/>
      <c r="V73" s="64"/>
      <c r="W73" s="64"/>
      <c r="X73" s="64"/>
      <c r="Y73" s="267"/>
      <c r="Z73" s="64"/>
      <c r="AA73" s="268"/>
      <c r="AB73" s="269"/>
      <c r="AC73" s="270"/>
      <c r="AD73" s="58"/>
    </row>
    <row r="74" spans="1:30" ht="17.25" x14ac:dyDescent="0.25">
      <c r="B74" s="65" t="s">
        <v>243</v>
      </c>
    </row>
    <row r="75" spans="1:30" ht="17.25" x14ac:dyDescent="0.25">
      <c r="B75" s="296"/>
    </row>
  </sheetData>
  <sortState xmlns:xlrd2="http://schemas.microsoft.com/office/spreadsheetml/2017/richdata2" ref="A5:AF62">
    <sortCondition ref="B5:B62"/>
  </sortState>
  <mergeCells count="9">
    <mergeCell ref="B71:AC71"/>
    <mergeCell ref="Y4:Y5"/>
    <mergeCell ref="D4:F4"/>
    <mergeCell ref="N4:O4"/>
    <mergeCell ref="A5:A6"/>
    <mergeCell ref="B5:B6"/>
    <mergeCell ref="Q4:T4"/>
    <mergeCell ref="U4:W4"/>
    <mergeCell ref="H4:L4"/>
  </mergeCells>
  <printOptions horizontalCentered="1"/>
  <pageMargins left="0" right="0" top="0.5" bottom="0" header="0.3" footer="0"/>
  <pageSetup scale="33" orientation="landscape" r:id="rId1"/>
  <headerFooter>
    <oddHeader xml:space="preserve">&amp;C&amp;"-,Bold"&amp;16 </oddHeader>
  </headerFooter>
  <colBreaks count="1" manualBreakCount="1">
    <brk id="15" max="7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theme="9" tint="0.59999389629810485"/>
    <pageSetUpPr fitToPage="1"/>
  </sheetPr>
  <dimension ref="A1:J67"/>
  <sheetViews>
    <sheetView zoomScaleNormal="100" workbookViewId="0">
      <pane xSplit="2" ySplit="6" topLeftCell="C7" activePane="bottomRight" state="frozen"/>
      <selection pane="topRight" activeCell="D1" sqref="D1"/>
      <selection pane="bottomLeft" activeCell="A6" sqref="A6"/>
      <selection pane="bottomRight" activeCell="B67" sqref="B67"/>
    </sheetView>
  </sheetViews>
  <sheetFormatPr defaultColWidth="9.28515625" defaultRowHeight="15" x14ac:dyDescent="0.25"/>
  <cols>
    <col min="1" max="1" width="8.28515625" style="1" bestFit="1" customWidth="1"/>
    <col min="2" max="6" width="15.7109375" style="1" customWidth="1"/>
    <col min="7" max="7" width="15.7109375" style="154" customWidth="1"/>
    <col min="8" max="8" width="15.7109375" style="1" customWidth="1"/>
    <col min="9" max="9" width="15.7109375" style="155" customWidth="1"/>
    <col min="10" max="16384" width="9.28515625" style="1"/>
  </cols>
  <sheetData>
    <row r="1" spans="1:10" ht="18.75" x14ac:dyDescent="0.3">
      <c r="A1" s="2" t="s">
        <v>178</v>
      </c>
    </row>
    <row r="2" spans="1:10" ht="15" customHeight="1" x14ac:dyDescent="0.25">
      <c r="A2" s="160" t="s">
        <v>224</v>
      </c>
    </row>
    <row r="3" spans="1:10" ht="15" customHeight="1" x14ac:dyDescent="0.25">
      <c r="A3" s="160"/>
    </row>
    <row r="4" spans="1:10" ht="15" customHeight="1" x14ac:dyDescent="0.25">
      <c r="A4" s="156"/>
      <c r="F4" s="317" t="s">
        <v>181</v>
      </c>
      <c r="G4" s="318"/>
      <c r="H4" s="318"/>
    </row>
    <row r="5" spans="1:10" ht="51" x14ac:dyDescent="0.25">
      <c r="A5" s="313" t="s">
        <v>68</v>
      </c>
      <c r="B5" s="315" t="s">
        <v>73</v>
      </c>
      <c r="C5" s="12" t="s">
        <v>72</v>
      </c>
      <c r="D5" s="12" t="s">
        <v>71</v>
      </c>
      <c r="E5" s="161" t="s">
        <v>70</v>
      </c>
      <c r="F5" s="79" t="s">
        <v>182</v>
      </c>
      <c r="G5" s="79" t="s">
        <v>183</v>
      </c>
      <c r="H5" s="79" t="s">
        <v>184</v>
      </c>
      <c r="I5" s="93" t="s">
        <v>179</v>
      </c>
    </row>
    <row r="6" spans="1:10" x14ac:dyDescent="0.25">
      <c r="A6" s="314"/>
      <c r="B6" s="316"/>
      <c r="C6" s="83" t="s">
        <v>65</v>
      </c>
      <c r="D6" s="83" t="s">
        <v>1</v>
      </c>
      <c r="E6" s="83" t="s">
        <v>66</v>
      </c>
      <c r="F6" s="83" t="s">
        <v>2</v>
      </c>
      <c r="G6" s="83" t="s">
        <v>3</v>
      </c>
      <c r="H6" s="83" t="s">
        <v>83</v>
      </c>
      <c r="I6" s="83" t="s">
        <v>114</v>
      </c>
    </row>
    <row r="7" spans="1:10" ht="15" customHeight="1" x14ac:dyDescent="0.25">
      <c r="A7" s="5">
        <v>4</v>
      </c>
      <c r="B7" s="6" t="s">
        <v>53</v>
      </c>
      <c r="C7" s="152">
        <v>1</v>
      </c>
      <c r="D7" s="152">
        <v>0</v>
      </c>
      <c r="E7" s="153" t="s">
        <v>226</v>
      </c>
      <c r="F7" s="292">
        <v>1.4460963010787964</v>
      </c>
      <c r="G7" s="292"/>
      <c r="H7" s="292">
        <v>1.4460963010787964</v>
      </c>
      <c r="I7" s="292">
        <v>1.4460963010787964</v>
      </c>
      <c r="J7" s="291"/>
    </row>
    <row r="8" spans="1:10" ht="15" customHeight="1" x14ac:dyDescent="0.25">
      <c r="A8" s="5">
        <v>1</v>
      </c>
      <c r="B8" s="7" t="s">
        <v>4</v>
      </c>
      <c r="C8" s="152">
        <v>1</v>
      </c>
      <c r="D8" s="152">
        <v>0</v>
      </c>
      <c r="E8" s="153" t="s">
        <v>226</v>
      </c>
      <c r="F8" s="292">
        <v>0.64925616979598999</v>
      </c>
      <c r="G8" s="292"/>
      <c r="H8" s="292">
        <v>0.64925616979598999</v>
      </c>
      <c r="I8" s="292">
        <v>0.64925616979598999</v>
      </c>
      <c r="J8" s="291"/>
    </row>
    <row r="9" spans="1:10" ht="15" customHeight="1" x14ac:dyDescent="0.25">
      <c r="A9" s="5">
        <v>1</v>
      </c>
      <c r="B9" s="7" t="s">
        <v>5</v>
      </c>
      <c r="C9" s="152">
        <v>0.29773145914077759</v>
      </c>
      <c r="D9" s="152">
        <v>0.70226854085922241</v>
      </c>
      <c r="E9" s="252" t="s">
        <v>227</v>
      </c>
      <c r="F9" s="292">
        <v>0.9252854585647583</v>
      </c>
      <c r="G9" s="292">
        <v>1.011293888092041</v>
      </c>
      <c r="H9" s="292">
        <v>0.96828967332839966</v>
      </c>
      <c r="I9" s="292">
        <v>0.96828967332839966</v>
      </c>
      <c r="J9" s="291"/>
    </row>
    <row r="10" spans="1:10" ht="15" customHeight="1" x14ac:dyDescent="0.25">
      <c r="A10" s="5">
        <v>2</v>
      </c>
      <c r="B10" s="6" t="s">
        <v>19</v>
      </c>
      <c r="C10" s="152">
        <v>0.80589026212692261</v>
      </c>
      <c r="D10" s="152">
        <v>0.19410976767539978</v>
      </c>
      <c r="E10" s="153" t="s">
        <v>226</v>
      </c>
      <c r="F10" s="292">
        <v>0.91068518161773682</v>
      </c>
      <c r="G10" s="292">
        <v>0.98703444004058838</v>
      </c>
      <c r="H10" s="292">
        <v>0.9488598108291626</v>
      </c>
      <c r="I10" s="292">
        <v>0.91068518161773682</v>
      </c>
      <c r="J10" s="291"/>
    </row>
    <row r="11" spans="1:10" ht="15" customHeight="1" x14ac:dyDescent="0.25">
      <c r="A11" s="5">
        <v>1</v>
      </c>
      <c r="B11" s="7" t="s">
        <v>6</v>
      </c>
      <c r="C11" s="152">
        <v>0.67596948146820068</v>
      </c>
      <c r="D11" s="152">
        <v>0.3240305483341217</v>
      </c>
      <c r="E11" s="153" t="s">
        <v>226</v>
      </c>
      <c r="F11" s="292">
        <v>0.82971793413162231</v>
      </c>
      <c r="G11" s="292">
        <v>0.9215087890625</v>
      </c>
      <c r="H11" s="292">
        <v>0.87561333179473877</v>
      </c>
      <c r="I11" s="292">
        <v>0.82971793413162231</v>
      </c>
      <c r="J11" s="291"/>
    </row>
    <row r="12" spans="1:10" ht="15" customHeight="1" x14ac:dyDescent="0.25">
      <c r="A12" s="5">
        <v>1</v>
      </c>
      <c r="B12" s="7" t="s">
        <v>7</v>
      </c>
      <c r="C12" s="152">
        <v>0.96891361474990845</v>
      </c>
      <c r="D12" s="152">
        <v>3.1086387112736702E-2</v>
      </c>
      <c r="E12" s="153" t="s">
        <v>226</v>
      </c>
      <c r="F12" s="292">
        <v>0.73231703042984009</v>
      </c>
      <c r="G12" s="292">
        <v>0.9945070743560791</v>
      </c>
      <c r="H12" s="292">
        <v>0.86341202259063721</v>
      </c>
      <c r="I12" s="292">
        <v>0.73231703042984009</v>
      </c>
      <c r="J12" s="291"/>
    </row>
    <row r="13" spans="1:10" ht="15" customHeight="1" x14ac:dyDescent="0.25">
      <c r="A13" s="5">
        <v>3</v>
      </c>
      <c r="B13" s="6" t="s">
        <v>41</v>
      </c>
      <c r="C13" s="152">
        <v>1</v>
      </c>
      <c r="D13" s="152">
        <v>0</v>
      </c>
      <c r="E13" s="153" t="s">
        <v>226</v>
      </c>
      <c r="F13" s="292">
        <v>1.3021576404571533</v>
      </c>
      <c r="G13" s="292"/>
      <c r="H13" s="292">
        <v>1.3021576404571533</v>
      </c>
      <c r="I13" s="292">
        <v>1.3021576404571533</v>
      </c>
      <c r="J13" s="291"/>
    </row>
    <row r="14" spans="1:10" ht="15" customHeight="1" x14ac:dyDescent="0.25">
      <c r="A14" s="5">
        <v>1</v>
      </c>
      <c r="B14" s="7" t="s">
        <v>8</v>
      </c>
      <c r="C14" s="152">
        <v>0.34871339797973633</v>
      </c>
      <c r="D14" s="152">
        <v>0.65128660202026367</v>
      </c>
      <c r="E14" s="252" t="s">
        <v>227</v>
      </c>
      <c r="F14" s="292">
        <v>0.64569491147994995</v>
      </c>
      <c r="G14" s="292">
        <v>0.86899811029434204</v>
      </c>
      <c r="H14" s="292">
        <v>0.757346510887146</v>
      </c>
      <c r="I14" s="292">
        <v>0.757346510887146</v>
      </c>
      <c r="J14" s="291"/>
    </row>
    <row r="15" spans="1:10" ht="15" customHeight="1" x14ac:dyDescent="0.25">
      <c r="A15" s="5">
        <v>2</v>
      </c>
      <c r="B15" s="7" t="s">
        <v>20</v>
      </c>
      <c r="C15" s="152">
        <v>1</v>
      </c>
      <c r="D15" s="152">
        <v>0</v>
      </c>
      <c r="E15" s="153" t="s">
        <v>226</v>
      </c>
      <c r="F15" s="292">
        <v>1.074924111366272</v>
      </c>
      <c r="G15" s="292"/>
      <c r="H15" s="292">
        <v>1.074924111366272</v>
      </c>
      <c r="I15" s="292">
        <v>1.074924111366272</v>
      </c>
      <c r="J15" s="291"/>
    </row>
    <row r="16" spans="1:10" ht="15" customHeight="1" x14ac:dyDescent="0.25">
      <c r="A16" s="5">
        <v>3</v>
      </c>
      <c r="B16" s="6" t="s">
        <v>42</v>
      </c>
      <c r="C16" s="152">
        <v>1</v>
      </c>
      <c r="D16" s="152">
        <v>0</v>
      </c>
      <c r="E16" s="153" t="s">
        <v>226</v>
      </c>
      <c r="F16" s="292">
        <v>0.94610399007797241</v>
      </c>
      <c r="G16" s="292"/>
      <c r="H16" s="292">
        <v>0.94610399007797241</v>
      </c>
      <c r="I16" s="292">
        <v>0.94610399007797241</v>
      </c>
      <c r="J16" s="291"/>
    </row>
    <row r="17" spans="1:10" ht="15" customHeight="1" x14ac:dyDescent="0.25">
      <c r="A17" s="5">
        <v>1</v>
      </c>
      <c r="B17" s="7" t="s">
        <v>9</v>
      </c>
      <c r="C17" s="152">
        <v>0.95164334774017334</v>
      </c>
      <c r="D17" s="152">
        <v>4.8356629908084869E-2</v>
      </c>
      <c r="E17" s="153" t="s">
        <v>226</v>
      </c>
      <c r="F17" s="292">
        <v>0.67969346046447754</v>
      </c>
      <c r="G17" s="292">
        <v>1.1069397926330566</v>
      </c>
      <c r="H17" s="292">
        <v>0.89331662654876709</v>
      </c>
      <c r="I17" s="292">
        <v>0.67969346046447754</v>
      </c>
      <c r="J17" s="291"/>
    </row>
    <row r="18" spans="1:10" ht="15" customHeight="1" x14ac:dyDescent="0.25">
      <c r="A18" s="5">
        <v>2</v>
      </c>
      <c r="B18" s="7" t="s">
        <v>21</v>
      </c>
      <c r="C18" s="152">
        <v>1</v>
      </c>
      <c r="D18" s="152">
        <v>0</v>
      </c>
      <c r="E18" s="153" t="s">
        <v>226</v>
      </c>
      <c r="F18" s="292">
        <v>0.72361463308334351</v>
      </c>
      <c r="G18" s="292"/>
      <c r="H18" s="292">
        <v>0.72361463308334351</v>
      </c>
      <c r="I18" s="292">
        <v>0.72361463308334351</v>
      </c>
      <c r="J18" s="291"/>
    </row>
    <row r="19" spans="1:10" ht="15" customHeight="1" x14ac:dyDescent="0.25">
      <c r="A19" s="5">
        <v>2</v>
      </c>
      <c r="B19" s="6" t="s">
        <v>22</v>
      </c>
      <c r="C19" s="152">
        <v>0.51886075735092163</v>
      </c>
      <c r="D19" s="152">
        <v>0.48113921284675598</v>
      </c>
      <c r="E19" s="153" t="s">
        <v>226</v>
      </c>
      <c r="F19" s="292">
        <v>0.71909677982330322</v>
      </c>
      <c r="G19" s="292">
        <v>0.85401594638824463</v>
      </c>
      <c r="H19" s="292">
        <v>0.78655636310577393</v>
      </c>
      <c r="I19" s="292">
        <v>0.71909677982330322</v>
      </c>
      <c r="J19" s="291"/>
    </row>
    <row r="20" spans="1:10" ht="15" customHeight="1" x14ac:dyDescent="0.25">
      <c r="A20" s="5">
        <v>1</v>
      </c>
      <c r="B20" s="7" t="s">
        <v>10</v>
      </c>
      <c r="C20" s="152">
        <v>0.68160653114318848</v>
      </c>
      <c r="D20" s="152">
        <v>0.31839346885681152</v>
      </c>
      <c r="E20" s="153" t="s">
        <v>226</v>
      </c>
      <c r="F20" s="292">
        <v>0.78644341230392456</v>
      </c>
      <c r="G20" s="292">
        <v>0.9433254599571228</v>
      </c>
      <c r="H20" s="292">
        <v>0.86488443613052368</v>
      </c>
      <c r="I20" s="292">
        <v>0.78644341230392456</v>
      </c>
      <c r="J20" s="291"/>
    </row>
    <row r="21" spans="1:10" ht="15" customHeight="1" x14ac:dyDescent="0.25">
      <c r="A21" s="5">
        <v>3</v>
      </c>
      <c r="B21" s="7" t="s">
        <v>43</v>
      </c>
      <c r="C21" s="152">
        <v>0.56328535079956055</v>
      </c>
      <c r="D21" s="152">
        <v>0.43671458959579468</v>
      </c>
      <c r="E21" s="153" t="s">
        <v>226</v>
      </c>
      <c r="F21" s="292">
        <v>0.95929700136184692</v>
      </c>
      <c r="G21" s="292">
        <v>0.97886240482330322</v>
      </c>
      <c r="H21" s="292">
        <v>0.96907973289489746</v>
      </c>
      <c r="I21" s="292">
        <v>0.95929700136184692</v>
      </c>
      <c r="J21" s="291"/>
    </row>
    <row r="22" spans="1:10" ht="15" customHeight="1" x14ac:dyDescent="0.25">
      <c r="A22" s="5">
        <v>2</v>
      </c>
      <c r="B22" s="6" t="s">
        <v>23</v>
      </c>
      <c r="C22" s="152">
        <v>0.35458686947822571</v>
      </c>
      <c r="D22" s="152">
        <v>0.6454131007194519</v>
      </c>
      <c r="E22" s="253" t="s">
        <v>227</v>
      </c>
      <c r="F22" s="292">
        <v>0.85555571317672729</v>
      </c>
      <c r="G22" s="292">
        <v>0.88433301448822021</v>
      </c>
      <c r="H22" s="292">
        <v>0.86994433403015137</v>
      </c>
      <c r="I22" s="292">
        <v>0.86994433403015137</v>
      </c>
      <c r="J22" s="291"/>
    </row>
    <row r="23" spans="1:10" ht="15" customHeight="1" x14ac:dyDescent="0.25">
      <c r="A23" s="5">
        <v>2</v>
      </c>
      <c r="B23" s="7" t="s">
        <v>24</v>
      </c>
      <c r="C23" s="152">
        <v>1</v>
      </c>
      <c r="D23" s="152">
        <v>0</v>
      </c>
      <c r="E23" s="153" t="s">
        <v>226</v>
      </c>
      <c r="F23" s="292">
        <v>0.75253069400787354</v>
      </c>
      <c r="G23" s="292"/>
      <c r="H23" s="292">
        <v>0.75253069400787354</v>
      </c>
      <c r="I23" s="292">
        <v>0.75253069400787354</v>
      </c>
      <c r="J23" s="291"/>
    </row>
    <row r="24" spans="1:10" ht="15" customHeight="1" x14ac:dyDescent="0.25">
      <c r="A24" s="5">
        <v>1</v>
      </c>
      <c r="B24" s="7" t="s">
        <v>11</v>
      </c>
      <c r="C24" s="152">
        <v>0.19405466318130493</v>
      </c>
      <c r="D24" s="152">
        <v>0.80594533681869507</v>
      </c>
      <c r="E24" s="253" t="s">
        <v>227</v>
      </c>
      <c r="F24" s="292">
        <v>0.65836912393569946</v>
      </c>
      <c r="G24" s="292">
        <v>0.89476776123046875</v>
      </c>
      <c r="H24" s="292">
        <v>0.77656841278076172</v>
      </c>
      <c r="I24" s="292">
        <v>0.77656841278076172</v>
      </c>
      <c r="J24" s="291"/>
    </row>
    <row r="25" spans="1:10" ht="15" customHeight="1" x14ac:dyDescent="0.25">
      <c r="A25" s="5">
        <v>4</v>
      </c>
      <c r="B25" s="6" t="s">
        <v>54</v>
      </c>
      <c r="C25" s="152">
        <v>0.90035903453826904</v>
      </c>
      <c r="D25" s="152">
        <v>9.9640928208827972E-2</v>
      </c>
      <c r="E25" s="153" t="s">
        <v>226</v>
      </c>
      <c r="F25" s="292">
        <v>1.4051740169525146</v>
      </c>
      <c r="G25" s="292">
        <v>1.3010735511779785</v>
      </c>
      <c r="H25" s="292">
        <v>1.3531237840652466</v>
      </c>
      <c r="I25" s="292">
        <v>1.4051740169525146</v>
      </c>
      <c r="J25" s="291"/>
    </row>
    <row r="26" spans="1:10" ht="15" customHeight="1" x14ac:dyDescent="0.25">
      <c r="A26" s="5">
        <v>2</v>
      </c>
      <c r="B26" s="7" t="s">
        <v>25</v>
      </c>
      <c r="C26" s="152">
        <v>0.43323218822479248</v>
      </c>
      <c r="D26" s="152">
        <v>0.56676775217056274</v>
      </c>
      <c r="E26" s="253" t="s">
        <v>227</v>
      </c>
      <c r="F26" s="292">
        <v>0.83832782506942749</v>
      </c>
      <c r="G26" s="292">
        <v>1.0276443958282471</v>
      </c>
      <c r="H26" s="292">
        <v>0.93298614025115967</v>
      </c>
      <c r="I26" s="292">
        <v>0.93298614025115967</v>
      </c>
      <c r="J26" s="291"/>
    </row>
    <row r="27" spans="1:10" ht="15" customHeight="1" x14ac:dyDescent="0.25">
      <c r="A27" s="5">
        <v>2</v>
      </c>
      <c r="B27" s="7" t="s">
        <v>26</v>
      </c>
      <c r="C27" s="152">
        <v>0.66444641351699829</v>
      </c>
      <c r="D27" s="152">
        <v>0.33555355668067932</v>
      </c>
      <c r="E27" s="153" t="s">
        <v>226</v>
      </c>
      <c r="F27" s="292">
        <v>1.3190077543258667</v>
      </c>
      <c r="G27" s="292">
        <v>1.0075933933258057</v>
      </c>
      <c r="H27" s="292">
        <v>1.1633005142211914</v>
      </c>
      <c r="I27" s="292">
        <v>1.3190077543258667</v>
      </c>
      <c r="J27" s="291"/>
    </row>
    <row r="28" spans="1:10" ht="15" customHeight="1" x14ac:dyDescent="0.25">
      <c r="A28" s="5">
        <v>1</v>
      </c>
      <c r="B28" s="6" t="s">
        <v>12</v>
      </c>
      <c r="C28" s="152">
        <v>0.50719583034515381</v>
      </c>
      <c r="D28" s="152">
        <v>0.49280419945716858</v>
      </c>
      <c r="E28" s="153" t="s">
        <v>226</v>
      </c>
      <c r="F28" s="292">
        <v>0.88950121402740479</v>
      </c>
      <c r="G28" s="292">
        <v>0.93253886699676514</v>
      </c>
      <c r="H28" s="292">
        <v>0.91102004051208496</v>
      </c>
      <c r="I28" s="292">
        <v>0.88950121402740479</v>
      </c>
      <c r="J28" s="291"/>
    </row>
    <row r="29" spans="1:10" ht="15" customHeight="1" x14ac:dyDescent="0.25">
      <c r="A29" s="5">
        <v>2</v>
      </c>
      <c r="B29" s="7" t="s">
        <v>27</v>
      </c>
      <c r="C29" s="152">
        <v>0.83043891191482544</v>
      </c>
      <c r="D29" s="152">
        <v>0.16956105828285217</v>
      </c>
      <c r="E29" s="153" t="s">
        <v>226</v>
      </c>
      <c r="F29" s="292">
        <v>0.78580397367477417</v>
      </c>
      <c r="G29" s="292">
        <v>0.91818612813949585</v>
      </c>
      <c r="H29" s="292">
        <v>0.85199505090713501</v>
      </c>
      <c r="I29" s="292">
        <v>0.78580397367477417</v>
      </c>
      <c r="J29" s="291"/>
    </row>
    <row r="30" spans="1:10" ht="15" customHeight="1" x14ac:dyDescent="0.25">
      <c r="A30" s="5">
        <v>2</v>
      </c>
      <c r="B30" s="7" t="s">
        <v>28</v>
      </c>
      <c r="C30" s="152">
        <v>1</v>
      </c>
      <c r="D30" s="152">
        <v>0</v>
      </c>
      <c r="E30" s="153" t="s">
        <v>226</v>
      </c>
      <c r="F30" s="292">
        <v>0.82987165451049805</v>
      </c>
      <c r="G30" s="292"/>
      <c r="H30" s="292">
        <v>0.82987165451049805</v>
      </c>
      <c r="I30" s="292">
        <v>0.82987165451049805</v>
      </c>
      <c r="J30" s="291"/>
    </row>
    <row r="31" spans="1:10" ht="15" customHeight="1" x14ac:dyDescent="0.25">
      <c r="A31" s="5">
        <v>1</v>
      </c>
      <c r="B31" s="6" t="s">
        <v>13</v>
      </c>
      <c r="C31" s="152">
        <v>0.84205126762390137</v>
      </c>
      <c r="D31" s="152">
        <v>0.15794871747493744</v>
      </c>
      <c r="E31" s="153" t="s">
        <v>226</v>
      </c>
      <c r="F31" s="292">
        <v>0.56720787286758423</v>
      </c>
      <c r="G31" s="292">
        <v>1.023492693901062</v>
      </c>
      <c r="H31" s="292">
        <v>0.79535031318664551</v>
      </c>
      <c r="I31" s="292">
        <v>0.56720787286758423</v>
      </c>
      <c r="J31" s="291"/>
    </row>
    <row r="32" spans="1:10" ht="15" customHeight="1" x14ac:dyDescent="0.25">
      <c r="A32" s="5">
        <v>1</v>
      </c>
      <c r="B32" s="7" t="s">
        <v>14</v>
      </c>
      <c r="C32" s="152">
        <v>0.90428793430328369</v>
      </c>
      <c r="D32" s="152">
        <v>9.5712102949619293E-2</v>
      </c>
      <c r="E32" s="153" t="s">
        <v>226</v>
      </c>
      <c r="F32" s="292">
        <v>0.91546094417572021</v>
      </c>
      <c r="G32" s="292">
        <v>0.87545579671859741</v>
      </c>
      <c r="H32" s="292">
        <v>0.89545834064483643</v>
      </c>
      <c r="I32" s="292">
        <v>0.91546094417572021</v>
      </c>
      <c r="J32" s="291"/>
    </row>
    <row r="33" spans="1:10" ht="15" customHeight="1" x14ac:dyDescent="0.25">
      <c r="A33" s="5">
        <v>3</v>
      </c>
      <c r="B33" s="7" t="s">
        <v>44</v>
      </c>
      <c r="C33" s="152">
        <v>0.62166029214859009</v>
      </c>
      <c r="D33" s="152">
        <v>0.37833970785140991</v>
      </c>
      <c r="E33" s="153" t="s">
        <v>226</v>
      </c>
      <c r="F33" s="292">
        <v>1.1577929258346558</v>
      </c>
      <c r="G33" s="292">
        <v>0.9137871265411377</v>
      </c>
      <c r="H33" s="292">
        <v>1.035789966583252</v>
      </c>
      <c r="I33" s="292">
        <v>1.1577929258346558</v>
      </c>
      <c r="J33" s="291"/>
    </row>
    <row r="34" spans="1:10" ht="15" customHeight="1" x14ac:dyDescent="0.25">
      <c r="A34" s="5">
        <v>2</v>
      </c>
      <c r="B34" s="6" t="s">
        <v>29</v>
      </c>
      <c r="C34" s="152">
        <v>0.79222011566162109</v>
      </c>
      <c r="D34" s="152">
        <v>0.20777988433837891</v>
      </c>
      <c r="E34" s="153" t="s">
        <v>226</v>
      </c>
      <c r="F34" s="292">
        <v>1.2612239122390747</v>
      </c>
      <c r="G34" s="292">
        <v>1.067690372467041</v>
      </c>
      <c r="H34" s="292">
        <v>1.1644570827484131</v>
      </c>
      <c r="I34" s="292">
        <v>1.2612239122390747</v>
      </c>
      <c r="J34" s="291"/>
    </row>
    <row r="35" spans="1:10" ht="15" customHeight="1" x14ac:dyDescent="0.25">
      <c r="A35" s="5">
        <v>2</v>
      </c>
      <c r="B35" s="7" t="s">
        <v>30</v>
      </c>
      <c r="C35" s="152">
        <v>0.69992458820343018</v>
      </c>
      <c r="D35" s="152">
        <v>0.30007544159889221</v>
      </c>
      <c r="E35" s="153" t="s">
        <v>226</v>
      </c>
      <c r="F35" s="292">
        <v>1.0633378028869629</v>
      </c>
      <c r="G35" s="292">
        <v>0.59100282192230225</v>
      </c>
      <c r="H35" s="292">
        <v>0.82717031240463257</v>
      </c>
      <c r="I35" s="292">
        <v>1.0633378028869629</v>
      </c>
      <c r="J35" s="291"/>
    </row>
    <row r="36" spans="1:10" ht="15" customHeight="1" x14ac:dyDescent="0.25">
      <c r="A36" s="5">
        <v>4</v>
      </c>
      <c r="B36" s="7" t="s">
        <v>55</v>
      </c>
      <c r="C36" s="152">
        <v>0.89204889535903931</v>
      </c>
      <c r="D36" s="152">
        <v>0.10795111209154129</v>
      </c>
      <c r="E36" s="153" t="s">
        <v>226</v>
      </c>
      <c r="F36" s="292">
        <v>1.2659307718276978</v>
      </c>
      <c r="G36" s="292">
        <v>1.1879754066467285</v>
      </c>
      <c r="H36" s="292">
        <v>1.2269530296325684</v>
      </c>
      <c r="I36" s="292">
        <v>1.2659307718276978</v>
      </c>
      <c r="J36" s="291"/>
    </row>
    <row r="37" spans="1:10" ht="15" customHeight="1" x14ac:dyDescent="0.25">
      <c r="A37" s="5">
        <v>2</v>
      </c>
      <c r="B37" s="6" t="s">
        <v>31</v>
      </c>
      <c r="C37" s="152">
        <v>1</v>
      </c>
      <c r="D37" s="152">
        <v>0</v>
      </c>
      <c r="E37" s="153" t="s">
        <v>226</v>
      </c>
      <c r="F37" s="292">
        <v>1.2147053480148315</v>
      </c>
      <c r="G37" s="292"/>
      <c r="H37" s="292">
        <v>1.2147053480148315</v>
      </c>
      <c r="I37" s="292">
        <v>1.2147053480148315</v>
      </c>
      <c r="J37" s="291"/>
    </row>
    <row r="38" spans="1:10" ht="15" customHeight="1" x14ac:dyDescent="0.25">
      <c r="A38" s="5">
        <v>1</v>
      </c>
      <c r="B38" s="7" t="s">
        <v>15</v>
      </c>
      <c r="C38" s="152">
        <v>0.92722517251968384</v>
      </c>
      <c r="D38" s="152">
        <v>7.2774872183799744E-2</v>
      </c>
      <c r="E38" s="153" t="s">
        <v>226</v>
      </c>
      <c r="F38" s="292">
        <v>0.69876575469970703</v>
      </c>
      <c r="G38" s="292">
        <v>0.79765588045120239</v>
      </c>
      <c r="H38" s="292">
        <v>0.74821078777313232</v>
      </c>
      <c r="I38" s="292">
        <v>0.69876575469970703</v>
      </c>
      <c r="J38" s="291"/>
    </row>
    <row r="39" spans="1:10" ht="15" customHeight="1" x14ac:dyDescent="0.25">
      <c r="A39" s="5">
        <v>4</v>
      </c>
      <c r="B39" s="7" t="s">
        <v>56</v>
      </c>
      <c r="C39" s="152">
        <v>0.79941129684448242</v>
      </c>
      <c r="D39" s="152">
        <v>0.20058874785900116</v>
      </c>
      <c r="E39" s="153" t="s">
        <v>226</v>
      </c>
      <c r="F39" s="292">
        <v>1.1449975967407227</v>
      </c>
      <c r="G39" s="292">
        <v>0.99603301286697388</v>
      </c>
      <c r="H39" s="292">
        <v>1.0705152750015259</v>
      </c>
      <c r="I39" s="292">
        <v>1.1449975967407227</v>
      </c>
      <c r="J39" s="291"/>
    </row>
    <row r="40" spans="1:10" ht="15" customHeight="1" x14ac:dyDescent="0.25">
      <c r="A40" s="5">
        <v>4</v>
      </c>
      <c r="B40" s="6" t="s">
        <v>57</v>
      </c>
      <c r="C40" s="152">
        <v>0.18569937348365784</v>
      </c>
      <c r="D40" s="152">
        <v>0.81430059671401978</v>
      </c>
      <c r="E40" s="253" t="s">
        <v>227</v>
      </c>
      <c r="F40" s="292">
        <v>1.1948847770690918</v>
      </c>
      <c r="G40" s="292">
        <v>1.5076590776443481</v>
      </c>
      <c r="H40" s="292">
        <v>1.3512718677520752</v>
      </c>
      <c r="I40" s="292">
        <v>1.3512718677520752</v>
      </c>
      <c r="J40" s="291"/>
    </row>
    <row r="41" spans="1:10" ht="15" customHeight="1" x14ac:dyDescent="0.25">
      <c r="A41" s="5">
        <v>1</v>
      </c>
      <c r="B41" s="7" t="s">
        <v>16</v>
      </c>
      <c r="C41" s="152">
        <v>0.90369492769241333</v>
      </c>
      <c r="D41" s="152">
        <v>9.6305027604103088E-2</v>
      </c>
      <c r="E41" s="153" t="s">
        <v>226</v>
      </c>
      <c r="F41" s="292">
        <v>1.0150957107543945</v>
      </c>
      <c r="G41" s="292">
        <v>0.77659833431243896</v>
      </c>
      <c r="H41" s="292">
        <v>0.89584702253341675</v>
      </c>
      <c r="I41" s="292">
        <v>1.0150957107543945</v>
      </c>
      <c r="J41" s="291"/>
    </row>
    <row r="42" spans="1:10" ht="15" customHeight="1" x14ac:dyDescent="0.25">
      <c r="A42" s="5">
        <v>4</v>
      </c>
      <c r="B42" s="7" t="s">
        <v>58</v>
      </c>
      <c r="C42" s="152">
        <v>0.77131766080856323</v>
      </c>
      <c r="D42" s="152">
        <v>0.22868238389492035</v>
      </c>
      <c r="E42" s="153" t="s">
        <v>226</v>
      </c>
      <c r="F42" s="292">
        <v>1.0527923107147217</v>
      </c>
      <c r="G42" s="292">
        <v>1.0733754634857178</v>
      </c>
      <c r="H42" s="292">
        <v>1.0630838871002197</v>
      </c>
      <c r="I42" s="292">
        <v>1.0527923107147217</v>
      </c>
      <c r="J42" s="291"/>
    </row>
    <row r="43" spans="1:10" ht="15" customHeight="1" x14ac:dyDescent="0.25">
      <c r="A43" s="5">
        <v>4</v>
      </c>
      <c r="B43" s="6" t="s">
        <v>59</v>
      </c>
      <c r="C43" s="152">
        <v>0.83923643827438354</v>
      </c>
      <c r="D43" s="152">
        <v>0.16076356172561646</v>
      </c>
      <c r="E43" s="153" t="s">
        <v>226</v>
      </c>
      <c r="F43" s="292">
        <v>1.1690871715545654</v>
      </c>
      <c r="G43" s="292">
        <v>1.2001011371612549</v>
      </c>
      <c r="H43" s="292">
        <v>1.1845941543579102</v>
      </c>
      <c r="I43" s="292">
        <v>1.1690871715545654</v>
      </c>
      <c r="J43" s="291"/>
    </row>
    <row r="44" spans="1:10" ht="15" customHeight="1" x14ac:dyDescent="0.25">
      <c r="A44" s="5">
        <v>3</v>
      </c>
      <c r="B44" s="7" t="s">
        <v>60</v>
      </c>
      <c r="C44" s="152">
        <v>1</v>
      </c>
      <c r="D44" s="152">
        <v>0</v>
      </c>
      <c r="E44" s="153" t="s">
        <v>226</v>
      </c>
      <c r="F44" s="292">
        <v>1.652641773223877</v>
      </c>
      <c r="G44" s="292"/>
      <c r="H44" s="292">
        <v>1.652641773223877</v>
      </c>
      <c r="I44" s="292">
        <v>1.652641773223877</v>
      </c>
      <c r="J44" s="291"/>
    </row>
    <row r="45" spans="1:10" ht="15" customHeight="1" x14ac:dyDescent="0.25">
      <c r="A45" s="5">
        <v>3</v>
      </c>
      <c r="B45" s="7" t="s">
        <v>45</v>
      </c>
      <c r="C45" s="152">
        <v>0.68934762477874756</v>
      </c>
      <c r="D45" s="152">
        <v>0.31065237522125244</v>
      </c>
      <c r="E45" s="153" t="s">
        <v>226</v>
      </c>
      <c r="F45" s="292">
        <v>1.065003514289856</v>
      </c>
      <c r="G45" s="292">
        <v>1.0144221782684326</v>
      </c>
      <c r="H45" s="292">
        <v>1.0397129058837891</v>
      </c>
      <c r="I45" s="292">
        <v>1.065003514289856</v>
      </c>
      <c r="J45" s="291"/>
    </row>
    <row r="46" spans="1:10" ht="15" customHeight="1" x14ac:dyDescent="0.25">
      <c r="A46" s="5">
        <v>2</v>
      </c>
      <c r="B46" s="6" t="s">
        <v>32</v>
      </c>
      <c r="C46" s="152">
        <v>0.55269151926040649</v>
      </c>
      <c r="D46" s="152">
        <v>0.44730848073959351</v>
      </c>
      <c r="E46" s="153" t="s">
        <v>226</v>
      </c>
      <c r="F46" s="292">
        <v>1.0581985712051392</v>
      </c>
      <c r="G46" s="292">
        <v>1.0314134359359741</v>
      </c>
      <c r="H46" s="292">
        <v>1.0448060035705566</v>
      </c>
      <c r="I46" s="292">
        <v>1.0581985712051392</v>
      </c>
      <c r="J46" s="291"/>
    </row>
    <row r="47" spans="1:10" ht="15" customHeight="1" x14ac:dyDescent="0.25">
      <c r="A47" s="5">
        <v>3</v>
      </c>
      <c r="B47" s="7" t="s">
        <v>46</v>
      </c>
      <c r="C47" s="152">
        <v>0.96756505966186523</v>
      </c>
      <c r="D47" s="152">
        <v>3.2434981316328049E-2</v>
      </c>
      <c r="E47" s="153" t="s">
        <v>226</v>
      </c>
      <c r="F47" s="292">
        <v>1.4866783618927002</v>
      </c>
      <c r="G47" s="292">
        <v>0.95893770456314087</v>
      </c>
      <c r="H47" s="292">
        <v>1.2228080034255981</v>
      </c>
      <c r="I47" s="292">
        <v>1.4866783618927002</v>
      </c>
      <c r="J47" s="291"/>
    </row>
    <row r="48" spans="1:10" ht="15" customHeight="1" x14ac:dyDescent="0.25">
      <c r="A48" s="5">
        <v>3</v>
      </c>
      <c r="B48" s="7" t="s">
        <v>47</v>
      </c>
      <c r="C48" s="152">
        <v>0.92392218112945557</v>
      </c>
      <c r="D48" s="152">
        <v>7.6077811419963837E-2</v>
      </c>
      <c r="E48" s="153" t="s">
        <v>226</v>
      </c>
      <c r="F48" s="292">
        <v>1.2240873575210571</v>
      </c>
      <c r="G48" s="292">
        <v>0.98772478103637695</v>
      </c>
      <c r="H48" s="292">
        <v>1.1059060096740723</v>
      </c>
      <c r="I48" s="292">
        <v>1.2240873575210571</v>
      </c>
      <c r="J48" s="291"/>
    </row>
    <row r="49" spans="1:10" ht="15" customHeight="1" x14ac:dyDescent="0.25">
      <c r="A49" s="5">
        <v>4</v>
      </c>
      <c r="B49" s="6" t="s">
        <v>61</v>
      </c>
      <c r="C49" s="152">
        <v>1</v>
      </c>
      <c r="D49" s="152">
        <v>0</v>
      </c>
      <c r="E49" s="153" t="s">
        <v>226</v>
      </c>
      <c r="F49" s="292">
        <v>1.467450737953186</v>
      </c>
      <c r="G49" s="292"/>
      <c r="H49" s="292">
        <v>1.467450737953186</v>
      </c>
      <c r="I49" s="292">
        <v>1.467450737953186</v>
      </c>
      <c r="J49" s="291"/>
    </row>
    <row r="50" spans="1:10" ht="15" customHeight="1" x14ac:dyDescent="0.25">
      <c r="A50" s="5">
        <v>2</v>
      </c>
      <c r="B50" s="7" t="s">
        <v>33</v>
      </c>
      <c r="C50" s="152">
        <v>0.84810960292816162</v>
      </c>
      <c r="D50" s="152">
        <v>0.15189042687416077</v>
      </c>
      <c r="E50" s="153" t="s">
        <v>226</v>
      </c>
      <c r="F50" s="292">
        <v>1.1688700914382935</v>
      </c>
      <c r="G50" s="292">
        <v>0.80322939157485962</v>
      </c>
      <c r="H50" s="292">
        <v>0.98604977130889893</v>
      </c>
      <c r="I50" s="292">
        <v>1.1688700914382935</v>
      </c>
      <c r="J50" s="291"/>
    </row>
    <row r="51" spans="1:10" ht="15" customHeight="1" x14ac:dyDescent="0.25">
      <c r="A51" s="5">
        <v>2</v>
      </c>
      <c r="B51" s="7" t="s">
        <v>34</v>
      </c>
      <c r="C51" s="152">
        <v>0.69224387407302856</v>
      </c>
      <c r="D51" s="152">
        <v>0.30775612592697144</v>
      </c>
      <c r="E51" s="153" t="s">
        <v>226</v>
      </c>
      <c r="F51" s="292">
        <v>0.88328772783279419</v>
      </c>
      <c r="G51" s="292">
        <v>1.0681025981903076</v>
      </c>
      <c r="H51" s="292">
        <v>0.97569513320922852</v>
      </c>
      <c r="I51" s="292">
        <v>0.88328772783279419</v>
      </c>
      <c r="J51" s="291"/>
    </row>
    <row r="52" spans="1:10" ht="15" customHeight="1" x14ac:dyDescent="0.25">
      <c r="A52" s="5">
        <v>1</v>
      </c>
      <c r="B52" s="6" t="s">
        <v>17</v>
      </c>
      <c r="C52" s="152">
        <v>0</v>
      </c>
      <c r="D52" s="152">
        <v>0</v>
      </c>
      <c r="E52" s="153" t="s">
        <v>226</v>
      </c>
      <c r="F52" s="292"/>
      <c r="G52" s="292"/>
      <c r="H52" s="292"/>
      <c r="I52" s="299">
        <v>0.62</v>
      </c>
      <c r="J52" s="291"/>
    </row>
    <row r="53" spans="1:10" ht="15" customHeight="1" x14ac:dyDescent="0.25">
      <c r="A53" s="5">
        <v>2</v>
      </c>
      <c r="B53" s="7" t="s">
        <v>35</v>
      </c>
      <c r="C53" s="152">
        <v>0.73613995313644409</v>
      </c>
      <c r="D53" s="152">
        <v>0.26386004686355591</v>
      </c>
      <c r="E53" s="153" t="s">
        <v>226</v>
      </c>
      <c r="F53" s="292">
        <v>0.68195444345474243</v>
      </c>
      <c r="G53" s="292">
        <v>0.91384953260421753</v>
      </c>
      <c r="H53" s="292">
        <v>0.79790198802947998</v>
      </c>
      <c r="I53" s="292">
        <v>0.68195444345474243</v>
      </c>
      <c r="J53" s="291"/>
    </row>
    <row r="54" spans="1:10" ht="15" customHeight="1" x14ac:dyDescent="0.25">
      <c r="A54" s="5">
        <v>3</v>
      </c>
      <c r="B54" s="7" t="s">
        <v>48</v>
      </c>
      <c r="C54" s="152">
        <v>0.66656160354614258</v>
      </c>
      <c r="D54" s="152">
        <v>0.33343833684921265</v>
      </c>
      <c r="E54" s="153" t="s">
        <v>226</v>
      </c>
      <c r="F54" s="292">
        <v>1.1996798515319824</v>
      </c>
      <c r="G54" s="292">
        <v>1.1498566865921021</v>
      </c>
      <c r="H54" s="292">
        <v>1.1747682094573975</v>
      </c>
      <c r="I54" s="292">
        <v>1.1996798515319824</v>
      </c>
      <c r="J54" s="291"/>
    </row>
    <row r="55" spans="1:10" ht="15" customHeight="1" x14ac:dyDescent="0.25">
      <c r="A55" s="5">
        <v>3</v>
      </c>
      <c r="B55" s="6" t="s">
        <v>49</v>
      </c>
      <c r="C55" s="152">
        <v>1</v>
      </c>
      <c r="D55" s="152">
        <v>0</v>
      </c>
      <c r="E55" s="153" t="s">
        <v>226</v>
      </c>
      <c r="F55" s="292">
        <v>1.1823205947875977</v>
      </c>
      <c r="G55" s="292"/>
      <c r="H55" s="292">
        <v>1.1823205947875977</v>
      </c>
      <c r="I55" s="292">
        <v>1.1823205947875977</v>
      </c>
      <c r="J55" s="291"/>
    </row>
    <row r="56" spans="1:10" ht="15" customHeight="1" x14ac:dyDescent="0.25">
      <c r="A56" s="5">
        <v>3</v>
      </c>
      <c r="B56" s="7" t="s">
        <v>50</v>
      </c>
      <c r="C56" s="152">
        <v>1</v>
      </c>
      <c r="D56" s="152">
        <v>0</v>
      </c>
      <c r="E56" s="153" t="s">
        <v>226</v>
      </c>
      <c r="F56" s="292">
        <v>1.0260977745056152</v>
      </c>
      <c r="G56" s="292"/>
      <c r="H56" s="292">
        <v>1.0260977745056152</v>
      </c>
      <c r="I56" s="292">
        <v>1.0260977745056152</v>
      </c>
      <c r="J56" s="291"/>
    </row>
    <row r="57" spans="1:10" ht="15" customHeight="1" x14ac:dyDescent="0.25">
      <c r="A57" s="5">
        <v>2</v>
      </c>
      <c r="B57" s="7" t="s">
        <v>36</v>
      </c>
      <c r="C57" s="152">
        <v>0.95044553279876709</v>
      </c>
      <c r="D57" s="152">
        <v>4.9554444849491119E-2</v>
      </c>
      <c r="E57" s="153" t="s">
        <v>226</v>
      </c>
      <c r="F57" s="292">
        <v>0.97991257905960083</v>
      </c>
      <c r="G57" s="292">
        <v>0.85551685094833374</v>
      </c>
      <c r="H57" s="292">
        <v>0.91771471500396729</v>
      </c>
      <c r="I57" s="292">
        <v>0.97991257905960083</v>
      </c>
      <c r="J57" s="291"/>
    </row>
    <row r="58" spans="1:10" ht="15" customHeight="1" x14ac:dyDescent="0.25">
      <c r="A58" s="5">
        <v>2</v>
      </c>
      <c r="B58" s="6" t="s">
        <v>37</v>
      </c>
      <c r="C58" s="152">
        <v>0.74459820985794067</v>
      </c>
      <c r="D58" s="152">
        <v>0.25540179014205933</v>
      </c>
      <c r="E58" s="153" t="s">
        <v>226</v>
      </c>
      <c r="F58" s="292">
        <v>0.78709399700164795</v>
      </c>
      <c r="G58" s="292">
        <v>1.1372275352478027</v>
      </c>
      <c r="H58" s="292">
        <v>0.96216076612472534</v>
      </c>
      <c r="I58" s="292">
        <v>0.78709399700164795</v>
      </c>
      <c r="J58" s="291"/>
    </row>
    <row r="59" spans="1:10" ht="15" customHeight="1" x14ac:dyDescent="0.25">
      <c r="A59" s="5">
        <v>1</v>
      </c>
      <c r="B59" s="7" t="s">
        <v>18</v>
      </c>
      <c r="C59" s="152">
        <v>0.90340030193328857</v>
      </c>
      <c r="D59" s="152">
        <v>9.6599698066711426E-2</v>
      </c>
      <c r="E59" s="153" t="s">
        <v>226</v>
      </c>
      <c r="F59" s="292">
        <v>0.69474673271179199</v>
      </c>
      <c r="G59" s="292">
        <v>1.1089485883712769</v>
      </c>
      <c r="H59" s="292">
        <v>0.90184766054153442</v>
      </c>
      <c r="I59" s="292">
        <v>0.69474673271179199</v>
      </c>
      <c r="J59" s="291"/>
    </row>
    <row r="60" spans="1:10" ht="15" customHeight="1" x14ac:dyDescent="0.25">
      <c r="A60" s="5">
        <v>3</v>
      </c>
      <c r="B60" s="7" t="s">
        <v>51</v>
      </c>
      <c r="C60" s="152">
        <v>0.95053881406784058</v>
      </c>
      <c r="D60" s="152">
        <v>4.9461189657449722E-2</v>
      </c>
      <c r="E60" s="153" t="s">
        <v>226</v>
      </c>
      <c r="F60" s="292">
        <v>0.95189553499221802</v>
      </c>
      <c r="G60" s="292">
        <v>0.96040832996368408</v>
      </c>
      <c r="H60" s="292">
        <v>0.95615196228027344</v>
      </c>
      <c r="I60" s="292">
        <v>0.95189553499221802</v>
      </c>
      <c r="J60" s="291"/>
    </row>
    <row r="61" spans="1:10" ht="15" customHeight="1" x14ac:dyDescent="0.25">
      <c r="A61" s="5">
        <v>2</v>
      </c>
      <c r="B61" s="6" t="s">
        <v>38</v>
      </c>
      <c r="C61" s="152">
        <v>1</v>
      </c>
      <c r="D61" s="152">
        <v>0</v>
      </c>
      <c r="E61" s="153" t="s">
        <v>226</v>
      </c>
      <c r="F61" s="292">
        <v>0.81933879852294922</v>
      </c>
      <c r="G61" s="292"/>
      <c r="H61" s="292">
        <v>0.81933879852294922</v>
      </c>
      <c r="I61" s="292">
        <v>0.81933879852294922</v>
      </c>
      <c r="J61" s="291"/>
    </row>
    <row r="62" spans="1:10" ht="15" customHeight="1" x14ac:dyDescent="0.25">
      <c r="A62" s="5">
        <v>3</v>
      </c>
      <c r="B62" s="7" t="s">
        <v>52</v>
      </c>
      <c r="C62" s="152">
        <v>1</v>
      </c>
      <c r="D62" s="152">
        <v>0</v>
      </c>
      <c r="E62" s="153" t="s">
        <v>226</v>
      </c>
      <c r="F62" s="292">
        <v>1.248450756072998</v>
      </c>
      <c r="G62" s="292"/>
      <c r="H62" s="292">
        <v>1.248450756072998</v>
      </c>
      <c r="I62" s="292">
        <v>1.248450756072998</v>
      </c>
      <c r="J62" s="291"/>
    </row>
    <row r="63" spans="1:10" ht="15" customHeight="1" x14ac:dyDescent="0.25">
      <c r="A63" s="5">
        <v>2</v>
      </c>
      <c r="B63" s="7" t="s">
        <v>39</v>
      </c>
      <c r="C63" s="152">
        <v>0.56024318933486938</v>
      </c>
      <c r="D63" s="152">
        <v>0.439756840467453</v>
      </c>
      <c r="E63" s="153" t="s">
        <v>226</v>
      </c>
      <c r="F63" s="292">
        <v>1.0862729549407959</v>
      </c>
      <c r="G63" s="292">
        <v>1.5166012048721313</v>
      </c>
      <c r="H63" s="292">
        <v>1.3014371395111084</v>
      </c>
      <c r="I63" s="292">
        <v>1.0862729549407959</v>
      </c>
      <c r="J63" s="291"/>
    </row>
    <row r="64" spans="1:10" ht="15" customHeight="1" x14ac:dyDescent="0.25">
      <c r="A64" s="5">
        <v>2</v>
      </c>
      <c r="B64" s="6" t="s">
        <v>40</v>
      </c>
      <c r="C64" s="152">
        <v>1</v>
      </c>
      <c r="D64" s="152">
        <v>0</v>
      </c>
      <c r="E64" s="153" t="s">
        <v>226</v>
      </c>
      <c r="F64" s="292">
        <v>0.95020836591720581</v>
      </c>
      <c r="G64" s="292"/>
      <c r="H64" s="292">
        <v>0.95020836591720581</v>
      </c>
      <c r="I64" s="292">
        <v>0.95020836591720581</v>
      </c>
      <c r="J64" s="291"/>
    </row>
    <row r="65" spans="2:9" x14ac:dyDescent="0.25">
      <c r="E65" s="157">
        <f>COUNTIF(E7:E64,"Yes")</f>
        <v>6</v>
      </c>
      <c r="I65" s="158"/>
    </row>
    <row r="66" spans="2:9" x14ac:dyDescent="0.25">
      <c r="B66" s="159" t="s">
        <v>225</v>
      </c>
      <c r="C66" s="262"/>
    </row>
    <row r="67" spans="2:9" ht="17.25" x14ac:dyDescent="0.25">
      <c r="B67" s="300" t="s">
        <v>256</v>
      </c>
    </row>
  </sheetData>
  <mergeCells count="3">
    <mergeCell ref="A5:A6"/>
    <mergeCell ref="B5:B6"/>
    <mergeCell ref="F4:H4"/>
  </mergeCells>
  <conditionalFormatting sqref="E5">
    <cfRule type="containsText" dxfId="2" priority="1" operator="containsText" text="Yes">
      <formula>NOT(ISERROR(SEARCH("Yes",E5)))</formula>
    </cfRule>
  </conditionalFormatting>
  <printOptions horizontalCentered="1"/>
  <pageMargins left="0.25" right="0.25" top="0.5" bottom="0.5" header="0.3" footer="0.3"/>
  <pageSetup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9" tint="0.39997558519241921"/>
    <pageSetUpPr fitToPage="1"/>
  </sheetPr>
  <dimension ref="A1:T70"/>
  <sheetViews>
    <sheetView view="pageBreakPreview" zoomScale="90" zoomScaleNormal="85" zoomScaleSheetLayoutView="90" workbookViewId="0">
      <pane xSplit="1" ySplit="6" topLeftCell="B7" activePane="bottomRight" state="frozen"/>
      <selection pane="topRight" activeCell="B1" sqref="B1"/>
      <selection pane="bottomLeft" activeCell="A7" sqref="A7"/>
      <selection pane="bottomRight" activeCell="F11" sqref="F11"/>
    </sheetView>
  </sheetViews>
  <sheetFormatPr defaultColWidth="9.28515625" defaultRowHeight="15" x14ac:dyDescent="0.25"/>
  <cols>
    <col min="1" max="1" width="15.7109375" style="106" customWidth="1"/>
    <col min="2" max="2" width="1.7109375" style="65" customWidth="1"/>
    <col min="3" max="3" width="11.28515625" style="106" customWidth="1"/>
    <col min="4" max="4" width="9.7109375" style="106" customWidth="1"/>
    <col min="5" max="5" width="9.140625" style="106" bestFit="1" customWidth="1"/>
    <col min="6" max="6" width="8.5703125" style="106" bestFit="1" customWidth="1"/>
    <col min="7" max="7" width="10.28515625" style="106" customWidth="1"/>
    <col min="8" max="8" width="9.140625" style="106" customWidth="1"/>
    <col min="9" max="9" width="10.85546875" style="106" bestFit="1" customWidth="1"/>
    <col min="10" max="10" width="11.7109375" style="106" customWidth="1"/>
    <col min="11" max="11" width="11.140625" style="106" customWidth="1"/>
    <col min="12" max="12" width="12.85546875" style="106" customWidth="1"/>
    <col min="13" max="13" width="12.5703125" style="110" customWidth="1"/>
    <col min="14" max="14" width="1.7109375" style="65" customWidth="1"/>
    <col min="15" max="16" width="12.85546875" style="106" customWidth="1"/>
    <col min="17" max="17" width="12.85546875" style="110" customWidth="1"/>
    <col min="18" max="18" width="1.7109375" style="65" customWidth="1"/>
    <col min="19" max="19" width="12.85546875" style="110" customWidth="1"/>
    <col min="20" max="20" width="16.42578125" style="106" customWidth="1"/>
    <col min="21" max="16384" width="9.28515625" style="107"/>
  </cols>
  <sheetData>
    <row r="1" spans="1:20" ht="20.100000000000001" customHeight="1" x14ac:dyDescent="0.25">
      <c r="A1" s="50" t="s">
        <v>220</v>
      </c>
      <c r="B1" s="105"/>
      <c r="T1" s="107"/>
    </row>
    <row r="2" spans="1:20" ht="20.100000000000001" customHeight="1" x14ac:dyDescent="0.25">
      <c r="A2" s="51" t="s">
        <v>254</v>
      </c>
      <c r="B2" s="54"/>
      <c r="F2" s="108"/>
      <c r="G2" s="108"/>
      <c r="H2" s="108"/>
      <c r="I2" s="108"/>
      <c r="J2" s="108"/>
      <c r="K2" s="108"/>
      <c r="L2" s="108"/>
      <c r="M2" s="108"/>
      <c r="N2" s="54"/>
      <c r="O2" s="108"/>
      <c r="P2" s="108"/>
      <c r="Q2" s="108"/>
      <c r="R2" s="54"/>
      <c r="S2" s="108"/>
      <c r="T2" s="107"/>
    </row>
    <row r="3" spans="1:20" ht="20.100000000000001" customHeight="1" x14ac:dyDescent="0.25">
      <c r="A3" s="109"/>
      <c r="B3" s="54"/>
      <c r="N3" s="54"/>
      <c r="R3" s="54"/>
    </row>
    <row r="4" spans="1:20" ht="20.100000000000001" customHeight="1" x14ac:dyDescent="0.25">
      <c r="A4" s="81"/>
      <c r="B4" s="86"/>
      <c r="C4" s="319" t="s">
        <v>87</v>
      </c>
      <c r="D4" s="319"/>
      <c r="E4" s="319"/>
      <c r="F4" s="319"/>
      <c r="G4" s="319"/>
      <c r="H4" s="319"/>
      <c r="I4" s="319"/>
      <c r="J4" s="319"/>
      <c r="K4" s="319"/>
      <c r="L4" s="319"/>
      <c r="M4" s="319"/>
      <c r="N4" s="86"/>
      <c r="O4" s="317" t="s">
        <v>88</v>
      </c>
      <c r="P4" s="318"/>
      <c r="Q4" s="318"/>
      <c r="R4" s="86"/>
      <c r="S4" s="111"/>
      <c r="T4" s="112"/>
    </row>
    <row r="5" spans="1:20" s="114" customFormat="1" ht="75" x14ac:dyDescent="0.25">
      <c r="A5" s="320" t="s">
        <v>63</v>
      </c>
      <c r="B5" s="86"/>
      <c r="C5" s="120" t="s">
        <v>89</v>
      </c>
      <c r="D5" s="120" t="s">
        <v>90</v>
      </c>
      <c r="E5" s="120" t="s">
        <v>91</v>
      </c>
      <c r="F5" s="120" t="s">
        <v>165</v>
      </c>
      <c r="G5" s="120" t="s">
        <v>180</v>
      </c>
      <c r="H5" s="120" t="s">
        <v>92</v>
      </c>
      <c r="I5" s="120" t="s">
        <v>161</v>
      </c>
      <c r="J5" s="79" t="s">
        <v>166</v>
      </c>
      <c r="K5" s="79" t="s">
        <v>167</v>
      </c>
      <c r="L5" s="79" t="s">
        <v>168</v>
      </c>
      <c r="M5" s="80" t="s">
        <v>169</v>
      </c>
      <c r="N5" s="86"/>
      <c r="O5" s="78" t="s">
        <v>164</v>
      </c>
      <c r="P5" s="78" t="s">
        <v>171</v>
      </c>
      <c r="Q5" s="78" t="s">
        <v>170</v>
      </c>
      <c r="R5" s="86"/>
      <c r="S5" s="100" t="s">
        <v>219</v>
      </c>
      <c r="T5" s="113"/>
    </row>
    <row r="6" spans="1:20" s="114" customFormat="1" x14ac:dyDescent="0.25">
      <c r="A6" s="320"/>
      <c r="B6" s="87"/>
      <c r="C6" s="83" t="s">
        <v>65</v>
      </c>
      <c r="D6" s="83" t="s">
        <v>1</v>
      </c>
      <c r="E6" s="83" t="s">
        <v>66</v>
      </c>
      <c r="F6" s="83" t="s">
        <v>2</v>
      </c>
      <c r="G6" s="83" t="s">
        <v>3</v>
      </c>
      <c r="H6" s="83" t="s">
        <v>83</v>
      </c>
      <c r="I6" s="83" t="s">
        <v>114</v>
      </c>
      <c r="J6" s="83" t="s">
        <v>113</v>
      </c>
      <c r="K6" s="83" t="s">
        <v>84</v>
      </c>
      <c r="L6" s="83" t="s">
        <v>85</v>
      </c>
      <c r="M6" s="83" t="s">
        <v>115</v>
      </c>
      <c r="N6" s="87"/>
      <c r="O6" s="83" t="s">
        <v>116</v>
      </c>
      <c r="P6" s="83" t="s">
        <v>86</v>
      </c>
      <c r="Q6" s="83" t="s">
        <v>76</v>
      </c>
      <c r="R6" s="87"/>
      <c r="S6" s="83" t="s">
        <v>117</v>
      </c>
      <c r="T6" s="113"/>
    </row>
    <row r="7" spans="1:20" ht="20.100000000000001" customHeight="1" x14ac:dyDescent="0.25">
      <c r="A7" s="119" t="s">
        <v>53</v>
      </c>
      <c r="B7" s="86"/>
      <c r="C7" s="121">
        <v>41.01458740234375</v>
      </c>
      <c r="D7" s="121">
        <v>119.68079376220703</v>
      </c>
      <c r="E7" s="121">
        <v>127.33705139160156</v>
      </c>
      <c r="F7" s="121">
        <v>94.943885803222656</v>
      </c>
      <c r="G7" s="121">
        <v>44.769416809082031</v>
      </c>
      <c r="H7" s="121">
        <v>14.739043235778809</v>
      </c>
      <c r="I7" s="122">
        <v>442.48477172851563</v>
      </c>
      <c r="J7" s="121">
        <v>32.5</v>
      </c>
      <c r="K7" s="121">
        <v>10.5</v>
      </c>
      <c r="L7" s="121">
        <v>45.236644744873047</v>
      </c>
      <c r="M7" s="123">
        <v>488</v>
      </c>
      <c r="N7" s="86"/>
      <c r="O7" s="121">
        <v>86.300000000000026</v>
      </c>
      <c r="P7" s="121">
        <v>7.1</v>
      </c>
      <c r="Q7" s="127">
        <v>81</v>
      </c>
      <c r="R7" s="86"/>
      <c r="S7" s="129">
        <v>569</v>
      </c>
    </row>
    <row r="8" spans="1:20" ht="20.100000000000001" customHeight="1" x14ac:dyDescent="0.25">
      <c r="A8" s="119" t="s">
        <v>4</v>
      </c>
      <c r="B8" s="56"/>
      <c r="C8" s="121">
        <v>0.49818813800811768</v>
      </c>
      <c r="D8" s="121">
        <v>0.44570291042327881</v>
      </c>
      <c r="E8" s="121">
        <v>0.10271552950143814</v>
      </c>
      <c r="F8" s="121">
        <v>5.5219236761331558E-2</v>
      </c>
      <c r="G8" s="121">
        <v>7.2425901889801025E-2</v>
      </c>
      <c r="H8" s="121">
        <v>0.16332754492759705</v>
      </c>
      <c r="I8" s="122">
        <v>1.3375792503356934</v>
      </c>
      <c r="J8" s="121">
        <v>0</v>
      </c>
      <c r="K8" s="121">
        <v>7.2</v>
      </c>
      <c r="L8" s="121">
        <v>0.18577489256858826</v>
      </c>
      <c r="M8" s="123">
        <v>2</v>
      </c>
      <c r="N8" s="56"/>
      <c r="O8" s="121">
        <v>1.5</v>
      </c>
      <c r="P8" s="121">
        <v>3.8000000000000003</v>
      </c>
      <c r="Q8" s="127">
        <v>1</v>
      </c>
      <c r="R8" s="56"/>
      <c r="S8" s="129">
        <v>3</v>
      </c>
    </row>
    <row r="9" spans="1:20" ht="20.100000000000001" customHeight="1" x14ac:dyDescent="0.25">
      <c r="A9" s="119" t="s">
        <v>5</v>
      </c>
      <c r="B9" s="56"/>
      <c r="C9" s="121">
        <v>1.8965946435928345</v>
      </c>
      <c r="D9" s="121">
        <v>9.352452278137207</v>
      </c>
      <c r="E9" s="121">
        <v>2.8064687252044678</v>
      </c>
      <c r="F9" s="121">
        <v>3.7031331062316895</v>
      </c>
      <c r="G9" s="121">
        <v>1.9573993682861328</v>
      </c>
      <c r="H9" s="121">
        <v>0.84786736965179443</v>
      </c>
      <c r="I9" s="122">
        <v>20.563915252685547</v>
      </c>
      <c r="J9" s="121">
        <v>0</v>
      </c>
      <c r="K9" s="121">
        <v>7.2</v>
      </c>
      <c r="L9" s="121">
        <v>2.8560993671417236</v>
      </c>
      <c r="M9" s="123">
        <v>24</v>
      </c>
      <c r="N9" s="56"/>
      <c r="O9" s="121">
        <v>3.39</v>
      </c>
      <c r="P9" s="121">
        <v>3.8000000000000003</v>
      </c>
      <c r="Q9" s="127">
        <v>8</v>
      </c>
      <c r="R9" s="56"/>
      <c r="S9" s="129">
        <v>32</v>
      </c>
    </row>
    <row r="10" spans="1:20" ht="20.100000000000001" customHeight="1" x14ac:dyDescent="0.25">
      <c r="A10" s="119" t="s">
        <v>19</v>
      </c>
      <c r="B10" s="56"/>
      <c r="C10" s="121">
        <v>7.1458830833435059</v>
      </c>
      <c r="D10" s="121">
        <v>39.713790893554688</v>
      </c>
      <c r="E10" s="121">
        <v>17.579633712768555</v>
      </c>
      <c r="F10" s="121">
        <v>19.975946426391602</v>
      </c>
      <c r="G10" s="121">
        <v>11.989468574523926</v>
      </c>
      <c r="H10" s="121">
        <v>4.9448156356811523</v>
      </c>
      <c r="I10" s="122">
        <v>101.34954071044922</v>
      </c>
      <c r="J10" s="121">
        <v>0.9</v>
      </c>
      <c r="K10" s="121">
        <v>8</v>
      </c>
      <c r="L10" s="121">
        <v>12.781192779541016</v>
      </c>
      <c r="M10" s="123">
        <v>115</v>
      </c>
      <c r="N10" s="56"/>
      <c r="O10" s="121">
        <v>18.02</v>
      </c>
      <c r="P10" s="121">
        <v>5.5</v>
      </c>
      <c r="Q10" s="127">
        <v>25</v>
      </c>
      <c r="R10" s="56"/>
      <c r="S10" s="129">
        <v>140</v>
      </c>
    </row>
    <row r="11" spans="1:20" ht="20.100000000000001" customHeight="1" x14ac:dyDescent="0.25">
      <c r="A11" s="119" t="s">
        <v>6</v>
      </c>
      <c r="B11" s="88"/>
      <c r="C11" s="121">
        <v>1.0477495193481445</v>
      </c>
      <c r="D11" s="121">
        <v>6.1292581558227539</v>
      </c>
      <c r="E11" s="121">
        <v>3.2062685489654541</v>
      </c>
      <c r="F11" s="121">
        <v>4.1077184677124023</v>
      </c>
      <c r="G11" s="121">
        <v>2.3205933570861816</v>
      </c>
      <c r="H11" s="121">
        <v>1.4212591648101807</v>
      </c>
      <c r="I11" s="122">
        <v>18.232847213745117</v>
      </c>
      <c r="J11" s="121">
        <v>0.25</v>
      </c>
      <c r="K11" s="121">
        <v>7.2</v>
      </c>
      <c r="L11" s="121">
        <v>2.5670621395111084</v>
      </c>
      <c r="M11" s="123">
        <v>21</v>
      </c>
      <c r="N11" s="88"/>
      <c r="O11" s="121">
        <v>2.65</v>
      </c>
      <c r="P11" s="121">
        <v>3.8000000000000003</v>
      </c>
      <c r="Q11" s="127">
        <v>7</v>
      </c>
      <c r="R11" s="88"/>
      <c r="S11" s="129">
        <v>28</v>
      </c>
    </row>
    <row r="12" spans="1:20" ht="20.100000000000001" customHeight="1" x14ac:dyDescent="0.25">
      <c r="A12" s="119" t="s">
        <v>7</v>
      </c>
      <c r="B12" s="56"/>
      <c r="C12" s="121">
        <v>2.1910147666931152</v>
      </c>
      <c r="D12" s="121">
        <v>6.0174264907836914</v>
      </c>
      <c r="E12" s="121">
        <v>0.94207102060317993</v>
      </c>
      <c r="F12" s="121">
        <v>1.5234677791595459</v>
      </c>
      <c r="G12" s="121">
        <v>0.874442458152771</v>
      </c>
      <c r="H12" s="121">
        <v>0.85155618190765381</v>
      </c>
      <c r="I12" s="122">
        <v>12.399978637695313</v>
      </c>
      <c r="J12" s="121">
        <v>0</v>
      </c>
      <c r="K12" s="121">
        <v>7.2</v>
      </c>
      <c r="L12" s="121">
        <v>1.7222192287445068</v>
      </c>
      <c r="M12" s="123">
        <v>15</v>
      </c>
      <c r="N12" s="56"/>
      <c r="O12" s="121">
        <v>1.2</v>
      </c>
      <c r="P12" s="121">
        <v>3.8000000000000003</v>
      </c>
      <c r="Q12" s="127">
        <v>5</v>
      </c>
      <c r="R12" s="56"/>
      <c r="S12" s="129">
        <v>20</v>
      </c>
    </row>
    <row r="13" spans="1:20" ht="20.100000000000001" customHeight="1" x14ac:dyDescent="0.25">
      <c r="A13" s="119" t="s">
        <v>41</v>
      </c>
      <c r="B13" s="56"/>
      <c r="C13" s="121">
        <v>18.464433670043945</v>
      </c>
      <c r="D13" s="121">
        <v>74.829933166503906</v>
      </c>
      <c r="E13" s="121">
        <v>77.026191711425781</v>
      </c>
      <c r="F13" s="121">
        <v>68.73138427734375</v>
      </c>
      <c r="G13" s="121">
        <v>39.482463836669922</v>
      </c>
      <c r="H13" s="121">
        <v>18.453798294067383</v>
      </c>
      <c r="I13" s="122">
        <v>296.98822021484375</v>
      </c>
      <c r="J13" s="121">
        <v>12.5</v>
      </c>
      <c r="K13" s="121">
        <v>9.8000000000000007</v>
      </c>
      <c r="L13" s="121">
        <v>31.58043098449707</v>
      </c>
      <c r="M13" s="123">
        <v>329</v>
      </c>
      <c r="N13" s="56"/>
      <c r="O13" s="121">
        <v>19.260000000000002</v>
      </c>
      <c r="P13" s="121">
        <v>7.1000000000000005</v>
      </c>
      <c r="Q13" s="127">
        <v>50</v>
      </c>
      <c r="R13" s="56"/>
      <c r="S13" s="129">
        <v>379</v>
      </c>
    </row>
    <row r="14" spans="1:20" ht="20.100000000000001" customHeight="1" x14ac:dyDescent="0.25">
      <c r="A14" s="119" t="s">
        <v>8</v>
      </c>
      <c r="B14" s="56"/>
      <c r="C14" s="121">
        <v>2.0412766933441162</v>
      </c>
      <c r="D14" s="121">
        <v>7.3935370445251465</v>
      </c>
      <c r="E14" s="121">
        <v>1.8586093187332153</v>
      </c>
      <c r="F14" s="121">
        <v>3.5973591804504395</v>
      </c>
      <c r="G14" s="121">
        <v>1.8890701532363892</v>
      </c>
      <c r="H14" s="121">
        <v>2.3553311824798584</v>
      </c>
      <c r="I14" s="122">
        <v>19.135183334350586</v>
      </c>
      <c r="J14" s="121">
        <v>0</v>
      </c>
      <c r="K14" s="121">
        <v>7.2</v>
      </c>
      <c r="L14" s="121">
        <v>2.6576642990112305</v>
      </c>
      <c r="M14" s="123">
        <v>22</v>
      </c>
      <c r="N14" s="56"/>
      <c r="O14" s="121">
        <v>3</v>
      </c>
      <c r="P14" s="121">
        <v>3.8000000000000003</v>
      </c>
      <c r="Q14" s="127">
        <v>7</v>
      </c>
      <c r="R14" s="56"/>
      <c r="S14" s="129">
        <v>29</v>
      </c>
    </row>
    <row r="15" spans="1:20" ht="20.100000000000001" customHeight="1" x14ac:dyDescent="0.25">
      <c r="A15" s="119" t="s">
        <v>20</v>
      </c>
      <c r="B15" s="56"/>
      <c r="C15" s="121">
        <v>4.8176217079162598</v>
      </c>
      <c r="D15" s="121">
        <v>16.307369232177734</v>
      </c>
      <c r="E15" s="121">
        <v>12.42263126373291</v>
      </c>
      <c r="F15" s="121">
        <v>13.734838485717773</v>
      </c>
      <c r="G15" s="121">
        <v>6.6823101043701172</v>
      </c>
      <c r="H15" s="121">
        <v>4.242671012878418</v>
      </c>
      <c r="I15" s="122">
        <v>58.207443237304688</v>
      </c>
      <c r="J15" s="121">
        <v>0.2</v>
      </c>
      <c r="K15" s="121">
        <v>8</v>
      </c>
      <c r="L15" s="121">
        <v>7.3009305000305176</v>
      </c>
      <c r="M15" s="123">
        <v>66</v>
      </c>
      <c r="N15" s="56"/>
      <c r="O15" s="121">
        <v>2.34</v>
      </c>
      <c r="P15" s="121">
        <v>5.5</v>
      </c>
      <c r="Q15" s="127">
        <v>13</v>
      </c>
      <c r="R15" s="56"/>
      <c r="S15" s="129">
        <v>79</v>
      </c>
    </row>
    <row r="16" spans="1:20" ht="20.100000000000001" customHeight="1" x14ac:dyDescent="0.25">
      <c r="A16" s="119" t="s">
        <v>42</v>
      </c>
      <c r="B16" s="56"/>
      <c r="C16" s="121">
        <v>22.573183059692383</v>
      </c>
      <c r="D16" s="121">
        <v>176.6573486328125</v>
      </c>
      <c r="E16" s="121">
        <v>85.177589416503906</v>
      </c>
      <c r="F16" s="121">
        <v>91.868370056152344</v>
      </c>
      <c r="G16" s="121">
        <v>29.674404144287109</v>
      </c>
      <c r="H16" s="121">
        <v>27.813201904296875</v>
      </c>
      <c r="I16" s="122">
        <v>433.76409912109375</v>
      </c>
      <c r="J16" s="121">
        <v>8.9</v>
      </c>
      <c r="K16" s="121">
        <v>9.8000000000000007</v>
      </c>
      <c r="L16" s="121">
        <v>45.169807434082031</v>
      </c>
      <c r="M16" s="123">
        <v>479</v>
      </c>
      <c r="N16" s="56"/>
      <c r="O16" s="121">
        <v>21.2</v>
      </c>
      <c r="P16" s="121">
        <v>7.1000000000000005</v>
      </c>
      <c r="Q16" s="127">
        <v>71</v>
      </c>
      <c r="R16" s="56"/>
      <c r="S16" s="129">
        <v>550</v>
      </c>
    </row>
    <row r="17" spans="1:19" ht="20.100000000000001" customHeight="1" x14ac:dyDescent="0.25">
      <c r="A17" s="119" t="s">
        <v>9</v>
      </c>
      <c r="B17" s="88"/>
      <c r="C17" s="121">
        <v>1.8604289293289185</v>
      </c>
      <c r="D17" s="121">
        <v>6.734459400177002</v>
      </c>
      <c r="E17" s="121">
        <v>1.4717922210693359</v>
      </c>
      <c r="F17" s="121">
        <v>2.8400750160217285</v>
      </c>
      <c r="G17" s="121">
        <v>1.443398118019104</v>
      </c>
      <c r="H17" s="121">
        <v>0.9606555700302124</v>
      </c>
      <c r="I17" s="122">
        <v>15.310809135437012</v>
      </c>
      <c r="J17" s="121">
        <v>0.5</v>
      </c>
      <c r="K17" s="121">
        <v>7.2</v>
      </c>
      <c r="L17" s="121">
        <v>2.1959457397460938</v>
      </c>
      <c r="M17" s="123">
        <v>18</v>
      </c>
      <c r="N17" s="88"/>
      <c r="O17" s="121">
        <v>4.6500000000000004</v>
      </c>
      <c r="P17" s="121">
        <v>3.8000000000000003</v>
      </c>
      <c r="Q17" s="127">
        <v>6</v>
      </c>
      <c r="R17" s="88"/>
      <c r="S17" s="129">
        <v>24</v>
      </c>
    </row>
    <row r="18" spans="1:19" ht="20.100000000000001" customHeight="1" x14ac:dyDescent="0.25">
      <c r="A18" s="119" t="s">
        <v>21</v>
      </c>
      <c r="B18" s="56"/>
      <c r="C18" s="121">
        <v>5.8249363899230957</v>
      </c>
      <c r="D18" s="121">
        <v>28.047510147094727</v>
      </c>
      <c r="E18" s="121">
        <v>10.63878059387207</v>
      </c>
      <c r="F18" s="121">
        <v>12.807456016540527</v>
      </c>
      <c r="G18" s="121">
        <v>7.3387875556945801</v>
      </c>
      <c r="H18" s="121">
        <v>5.3978285789489746</v>
      </c>
      <c r="I18" s="122">
        <v>70.0552978515625</v>
      </c>
      <c r="J18" s="121">
        <v>0</v>
      </c>
      <c r="K18" s="121">
        <v>8</v>
      </c>
      <c r="L18" s="121">
        <v>8.7569122314453125</v>
      </c>
      <c r="M18" s="123">
        <v>79</v>
      </c>
      <c r="N18" s="56"/>
      <c r="O18" s="121">
        <v>2</v>
      </c>
      <c r="P18" s="121">
        <v>5.5</v>
      </c>
      <c r="Q18" s="127">
        <v>15</v>
      </c>
      <c r="R18" s="56"/>
      <c r="S18" s="129">
        <v>94</v>
      </c>
    </row>
    <row r="19" spans="1:19" ht="20.100000000000001" customHeight="1" x14ac:dyDescent="0.25">
      <c r="A19" s="119" t="s">
        <v>22</v>
      </c>
      <c r="B19" s="56"/>
      <c r="C19" s="121">
        <v>15.298893928527832</v>
      </c>
      <c r="D19" s="121">
        <v>28.481098175048828</v>
      </c>
      <c r="E19" s="121">
        <v>9.508152961730957</v>
      </c>
      <c r="F19" s="121">
        <v>17.529802322387695</v>
      </c>
      <c r="G19" s="121">
        <v>5.5737290382385254</v>
      </c>
      <c r="H19" s="121">
        <v>6.1240625381469727</v>
      </c>
      <c r="I19" s="122">
        <v>82.515739440917969</v>
      </c>
      <c r="J19" s="121">
        <v>4</v>
      </c>
      <c r="K19" s="121">
        <v>8</v>
      </c>
      <c r="L19" s="121">
        <v>10.814467430114746</v>
      </c>
      <c r="M19" s="123">
        <v>94</v>
      </c>
      <c r="N19" s="56"/>
      <c r="O19" s="121">
        <v>12.649999999999997</v>
      </c>
      <c r="P19" s="121">
        <v>5.5</v>
      </c>
      <c r="Q19" s="127">
        <v>20</v>
      </c>
      <c r="R19" s="56"/>
      <c r="S19" s="129">
        <v>114</v>
      </c>
    </row>
    <row r="20" spans="1:19" ht="20.100000000000001" customHeight="1" x14ac:dyDescent="0.25">
      <c r="A20" s="119" t="s">
        <v>10</v>
      </c>
      <c r="B20" s="56"/>
      <c r="C20" s="121">
        <v>4.0959372520446777</v>
      </c>
      <c r="D20" s="121">
        <v>5.4371633529663086</v>
      </c>
      <c r="E20" s="121">
        <v>1.0718282461166382</v>
      </c>
      <c r="F20" s="121">
        <v>1.8002489805221558</v>
      </c>
      <c r="G20" s="121">
        <v>0.91912233829498291</v>
      </c>
      <c r="H20" s="121">
        <v>0.43982231616973877</v>
      </c>
      <c r="I20" s="122">
        <v>13.764122009277344</v>
      </c>
      <c r="J20" s="121">
        <v>0.25</v>
      </c>
      <c r="K20" s="121">
        <v>7.2</v>
      </c>
      <c r="L20" s="121">
        <v>1.9464058876037598</v>
      </c>
      <c r="M20" s="123">
        <v>16</v>
      </c>
      <c r="N20" s="56"/>
      <c r="O20" s="121">
        <v>5</v>
      </c>
      <c r="P20" s="121">
        <v>3.8000000000000003</v>
      </c>
      <c r="Q20" s="127">
        <v>6</v>
      </c>
      <c r="R20" s="56"/>
      <c r="S20" s="129">
        <v>22</v>
      </c>
    </row>
    <row r="21" spans="1:19" ht="20.100000000000001" customHeight="1" x14ac:dyDescent="0.25">
      <c r="A21" s="119" t="s">
        <v>43</v>
      </c>
      <c r="B21" s="56"/>
      <c r="C21" s="121">
        <v>24.87187385559082</v>
      </c>
      <c r="D21" s="121">
        <v>191.73432922363281</v>
      </c>
      <c r="E21" s="121">
        <v>68.177680969238281</v>
      </c>
      <c r="F21" s="121">
        <v>86.496292114257813</v>
      </c>
      <c r="G21" s="121">
        <v>32.876331329345703</v>
      </c>
      <c r="H21" s="121">
        <v>19.197925567626953</v>
      </c>
      <c r="I21" s="122">
        <v>423.35443115234375</v>
      </c>
      <c r="J21" s="121">
        <v>18</v>
      </c>
      <c r="K21" s="121">
        <v>9.8000000000000007</v>
      </c>
      <c r="L21" s="121">
        <v>45.036167144775391</v>
      </c>
      <c r="M21" s="123">
        <v>469</v>
      </c>
      <c r="N21" s="56"/>
      <c r="O21" s="121">
        <v>53.5</v>
      </c>
      <c r="P21" s="121">
        <v>7.1000000000000005</v>
      </c>
      <c r="Q21" s="127">
        <v>74</v>
      </c>
      <c r="R21" s="56"/>
      <c r="S21" s="129">
        <v>543</v>
      </c>
    </row>
    <row r="22" spans="1:19" ht="20.100000000000001" customHeight="1" x14ac:dyDescent="0.25">
      <c r="A22" s="119" t="s">
        <v>23</v>
      </c>
      <c r="B22" s="56"/>
      <c r="C22" s="121">
        <v>6.2942748069763184</v>
      </c>
      <c r="D22" s="121">
        <v>45.240077972412109</v>
      </c>
      <c r="E22" s="121">
        <v>8.2834291458129883</v>
      </c>
      <c r="F22" s="121">
        <v>15.359530448913574</v>
      </c>
      <c r="G22" s="121">
        <v>4.4206085205078125</v>
      </c>
      <c r="H22" s="121">
        <v>5.4271912574768066</v>
      </c>
      <c r="I22" s="122">
        <v>85.025115966796875</v>
      </c>
      <c r="J22" s="121">
        <v>1.6</v>
      </c>
      <c r="K22" s="121">
        <v>8</v>
      </c>
      <c r="L22" s="121">
        <v>10.828139305114746</v>
      </c>
      <c r="M22" s="123">
        <v>96</v>
      </c>
      <c r="N22" s="56"/>
      <c r="O22" s="121">
        <v>4.2</v>
      </c>
      <c r="P22" s="121">
        <v>5.5</v>
      </c>
      <c r="Q22" s="127">
        <v>19</v>
      </c>
      <c r="R22" s="56"/>
      <c r="S22" s="129">
        <v>115</v>
      </c>
    </row>
    <row r="23" spans="1:19" ht="20.100000000000001" customHeight="1" x14ac:dyDescent="0.25">
      <c r="A23" s="119" t="s">
        <v>24</v>
      </c>
      <c r="B23" s="56"/>
      <c r="C23" s="121">
        <v>2.2696380615234375</v>
      </c>
      <c r="D23" s="121">
        <v>19.694770812988281</v>
      </c>
      <c r="E23" s="121">
        <v>6.8010306358337402</v>
      </c>
      <c r="F23" s="121">
        <v>7.9515895843505859</v>
      </c>
      <c r="G23" s="121">
        <v>4.6837196350097656</v>
      </c>
      <c r="H23" s="121">
        <v>1.4575027227401733</v>
      </c>
      <c r="I23" s="122">
        <v>42.858249664306641</v>
      </c>
      <c r="J23" s="121">
        <v>0.25</v>
      </c>
      <c r="K23" s="121">
        <v>8</v>
      </c>
      <c r="L23" s="121">
        <v>5.3885312080383301</v>
      </c>
      <c r="M23" s="123">
        <v>49</v>
      </c>
      <c r="N23" s="56"/>
      <c r="O23" s="121">
        <v>1.9500000000000002</v>
      </c>
      <c r="P23" s="121">
        <v>5.5</v>
      </c>
      <c r="Q23" s="127">
        <v>10</v>
      </c>
      <c r="R23" s="56"/>
      <c r="S23" s="129">
        <v>59</v>
      </c>
    </row>
    <row r="24" spans="1:19" ht="20.100000000000001" customHeight="1" x14ac:dyDescent="0.25">
      <c r="A24" s="119" t="s">
        <v>11</v>
      </c>
      <c r="B24" s="56"/>
      <c r="C24" s="121">
        <v>2.0899209976196289</v>
      </c>
      <c r="D24" s="121">
        <v>6.3669352531433105</v>
      </c>
      <c r="E24" s="121">
        <v>1.6379470825195313</v>
      </c>
      <c r="F24" s="121">
        <v>3.0558810234069824</v>
      </c>
      <c r="G24" s="121">
        <v>1.1937079429626465</v>
      </c>
      <c r="H24" s="121">
        <v>1.0805741548538208</v>
      </c>
      <c r="I24" s="122">
        <v>15.424966812133789</v>
      </c>
      <c r="J24" s="121">
        <v>0</v>
      </c>
      <c r="K24" s="121">
        <v>7.2</v>
      </c>
      <c r="L24" s="121">
        <v>2.1423563957214355</v>
      </c>
      <c r="M24" s="123">
        <v>18</v>
      </c>
      <c r="N24" s="56"/>
      <c r="O24" s="121">
        <v>1</v>
      </c>
      <c r="P24" s="121">
        <v>3.8000000000000003</v>
      </c>
      <c r="Q24" s="127">
        <v>5</v>
      </c>
      <c r="R24" s="56"/>
      <c r="S24" s="129">
        <v>23</v>
      </c>
    </row>
    <row r="25" spans="1:19" ht="20.100000000000001" customHeight="1" x14ac:dyDescent="0.25">
      <c r="A25" s="119" t="s">
        <v>54</v>
      </c>
      <c r="B25" s="56"/>
      <c r="C25" s="121">
        <v>225.92626953125</v>
      </c>
      <c r="D25" s="121">
        <v>1087.6531982421875</v>
      </c>
      <c r="E25" s="121">
        <v>1152.4368896484375</v>
      </c>
      <c r="F25" s="121">
        <v>736.9375</v>
      </c>
      <c r="G25" s="121">
        <v>348.91043090820313</v>
      </c>
      <c r="H25" s="121">
        <v>323.46560668945313</v>
      </c>
      <c r="I25" s="122">
        <v>3875.329833984375</v>
      </c>
      <c r="J25" s="121">
        <v>268</v>
      </c>
      <c r="K25" s="121">
        <v>10.5</v>
      </c>
      <c r="L25" s="121">
        <v>394.60284423828125</v>
      </c>
      <c r="M25" s="123">
        <v>4270</v>
      </c>
      <c r="N25" s="56"/>
      <c r="O25" s="121">
        <v>471</v>
      </c>
      <c r="P25" s="121">
        <v>7.1</v>
      </c>
      <c r="Q25" s="127">
        <v>668</v>
      </c>
      <c r="R25" s="56"/>
      <c r="S25" s="129">
        <v>4938</v>
      </c>
    </row>
    <row r="26" spans="1:19" ht="20.100000000000001" customHeight="1" x14ac:dyDescent="0.25">
      <c r="A26" s="119" t="s">
        <v>25</v>
      </c>
      <c r="B26" s="56"/>
      <c r="C26" s="121">
        <v>7.1236796379089355</v>
      </c>
      <c r="D26" s="121">
        <v>31.693840026855469</v>
      </c>
      <c r="E26" s="121">
        <v>11.459562301635742</v>
      </c>
      <c r="F26" s="121">
        <v>21.10986328125</v>
      </c>
      <c r="G26" s="121">
        <v>4.622279167175293</v>
      </c>
      <c r="H26" s="121">
        <v>5.8279428482055664</v>
      </c>
      <c r="I26" s="122">
        <v>81.837165832519531</v>
      </c>
      <c r="J26" s="121">
        <v>4</v>
      </c>
      <c r="K26" s="121">
        <v>8</v>
      </c>
      <c r="L26" s="121">
        <v>10.729645729064941</v>
      </c>
      <c r="M26" s="123">
        <v>93</v>
      </c>
      <c r="N26" s="56"/>
      <c r="O26" s="121">
        <v>6.66</v>
      </c>
      <c r="P26" s="121">
        <v>5.5</v>
      </c>
      <c r="Q26" s="127">
        <v>19</v>
      </c>
      <c r="R26" s="56"/>
      <c r="S26" s="129">
        <v>112</v>
      </c>
    </row>
    <row r="27" spans="1:19" ht="20.100000000000001" customHeight="1" x14ac:dyDescent="0.25">
      <c r="A27" s="119" t="s">
        <v>26</v>
      </c>
      <c r="B27" s="56"/>
      <c r="C27" s="121">
        <v>12.704596519470215</v>
      </c>
      <c r="D27" s="121">
        <v>19.999608993530273</v>
      </c>
      <c r="E27" s="121">
        <v>16.730154037475586</v>
      </c>
      <c r="F27" s="121">
        <v>12.961719512939453</v>
      </c>
      <c r="G27" s="121">
        <v>11.081990242004395</v>
      </c>
      <c r="H27" s="121">
        <v>2.5422830581665039</v>
      </c>
      <c r="I27" s="122">
        <v>76.020355224609375</v>
      </c>
      <c r="J27" s="121">
        <v>3.5</v>
      </c>
      <c r="K27" s="121">
        <v>8</v>
      </c>
      <c r="L27" s="121">
        <v>9.9400444030761719</v>
      </c>
      <c r="M27" s="123">
        <v>86</v>
      </c>
      <c r="N27" s="56"/>
      <c r="O27" s="121">
        <v>5.3000000000000007</v>
      </c>
      <c r="P27" s="121">
        <v>5.5</v>
      </c>
      <c r="Q27" s="127">
        <v>17</v>
      </c>
      <c r="R27" s="56"/>
      <c r="S27" s="129">
        <v>103</v>
      </c>
    </row>
    <row r="28" spans="1:19" ht="20.100000000000001" customHeight="1" x14ac:dyDescent="0.25">
      <c r="A28" s="119" t="s">
        <v>12</v>
      </c>
      <c r="B28" s="56"/>
      <c r="C28" s="121">
        <v>0.96457237005233765</v>
      </c>
      <c r="D28" s="121">
        <v>4.664238452911377</v>
      </c>
      <c r="E28" s="121">
        <v>0.71891069412231445</v>
      </c>
      <c r="F28" s="121">
        <v>1.348764181137085</v>
      </c>
      <c r="G28" s="121">
        <v>0.96429747343063354</v>
      </c>
      <c r="H28" s="121">
        <v>0.35064736008644104</v>
      </c>
      <c r="I28" s="122">
        <v>9.0114307403564453</v>
      </c>
      <c r="J28" s="121">
        <v>0</v>
      </c>
      <c r="K28" s="121">
        <v>7.2</v>
      </c>
      <c r="L28" s="121">
        <v>1.2515876293182373</v>
      </c>
      <c r="M28" s="123">
        <v>11</v>
      </c>
      <c r="N28" s="56"/>
      <c r="O28" s="121">
        <v>3.3000000000000003</v>
      </c>
      <c r="P28" s="121">
        <v>3.8000000000000003</v>
      </c>
      <c r="Q28" s="127">
        <v>4</v>
      </c>
      <c r="R28" s="56"/>
      <c r="S28" s="129">
        <v>15</v>
      </c>
    </row>
    <row r="29" spans="1:19" ht="20.100000000000001" customHeight="1" x14ac:dyDescent="0.25">
      <c r="A29" s="119" t="s">
        <v>27</v>
      </c>
      <c r="B29" s="56"/>
      <c r="C29" s="121">
        <v>5.0943684577941895</v>
      </c>
      <c r="D29" s="121">
        <v>21.757167816162109</v>
      </c>
      <c r="E29" s="121">
        <v>6.9145426750183105</v>
      </c>
      <c r="F29" s="121">
        <v>8.5900697708129883</v>
      </c>
      <c r="G29" s="121">
        <v>4.2582955360412598</v>
      </c>
      <c r="H29" s="121">
        <v>3.9819347858428955</v>
      </c>
      <c r="I29" s="122">
        <v>50.596378326416016</v>
      </c>
      <c r="J29" s="121">
        <v>0.8</v>
      </c>
      <c r="K29" s="121">
        <v>8</v>
      </c>
      <c r="L29" s="121">
        <v>6.4245471954345703</v>
      </c>
      <c r="M29" s="123">
        <v>58</v>
      </c>
      <c r="N29" s="56"/>
      <c r="O29" s="121">
        <v>3.2</v>
      </c>
      <c r="P29" s="121">
        <v>5.5</v>
      </c>
      <c r="Q29" s="127">
        <v>12</v>
      </c>
      <c r="R29" s="56"/>
      <c r="S29" s="129">
        <v>70</v>
      </c>
    </row>
    <row r="30" spans="1:19" ht="20.100000000000001" customHeight="1" x14ac:dyDescent="0.25">
      <c r="A30" s="119" t="s">
        <v>28</v>
      </c>
      <c r="B30" s="56"/>
      <c r="C30" s="121">
        <v>14.069450378417969</v>
      </c>
      <c r="D30" s="121">
        <v>44.248767852783203</v>
      </c>
      <c r="E30" s="121">
        <v>20.236991882324219</v>
      </c>
      <c r="F30" s="121">
        <v>26.308139801025391</v>
      </c>
      <c r="G30" s="121">
        <v>8.0024919509887695</v>
      </c>
      <c r="H30" s="121">
        <v>7.3137340545654297</v>
      </c>
      <c r="I30" s="122">
        <v>120.17957305908203</v>
      </c>
      <c r="J30" s="121">
        <v>3.5</v>
      </c>
      <c r="K30" s="121">
        <v>8</v>
      </c>
      <c r="L30" s="121">
        <v>15.459946632385254</v>
      </c>
      <c r="M30" s="123">
        <v>136</v>
      </c>
      <c r="N30" s="56"/>
      <c r="O30" s="121">
        <v>12.5</v>
      </c>
      <c r="P30" s="121">
        <v>5.5</v>
      </c>
      <c r="Q30" s="127">
        <v>27</v>
      </c>
      <c r="R30" s="56"/>
      <c r="S30" s="129">
        <v>163</v>
      </c>
    </row>
    <row r="31" spans="1:19" ht="20.100000000000001" customHeight="1" x14ac:dyDescent="0.25">
      <c r="A31" s="119" t="s">
        <v>13</v>
      </c>
      <c r="B31" s="56"/>
      <c r="C31" s="121">
        <v>0.42842209339141846</v>
      </c>
      <c r="D31" s="121">
        <v>3.0964844226837158</v>
      </c>
      <c r="E31" s="121">
        <v>0.70920127630233765</v>
      </c>
      <c r="F31" s="121">
        <v>1.3185809850692749</v>
      </c>
      <c r="G31" s="121">
        <v>0.69611042737960815</v>
      </c>
      <c r="H31" s="121">
        <v>0.45972061157226563</v>
      </c>
      <c r="I31" s="122">
        <v>6.7085199356079102</v>
      </c>
      <c r="J31" s="121">
        <v>0</v>
      </c>
      <c r="K31" s="121">
        <v>7.2</v>
      </c>
      <c r="L31" s="121">
        <v>0.93173885345458984</v>
      </c>
      <c r="M31" s="123">
        <v>8</v>
      </c>
      <c r="N31" s="56"/>
      <c r="O31" s="121">
        <v>2</v>
      </c>
      <c r="P31" s="121">
        <v>3.8000000000000003</v>
      </c>
      <c r="Q31" s="127">
        <v>3</v>
      </c>
      <c r="R31" s="56"/>
      <c r="S31" s="129">
        <v>11</v>
      </c>
    </row>
    <row r="32" spans="1:19" ht="20.100000000000001" customHeight="1" x14ac:dyDescent="0.25">
      <c r="A32" s="119" t="s">
        <v>14</v>
      </c>
      <c r="B32" s="56"/>
      <c r="C32" s="121">
        <v>3.2078311443328857</v>
      </c>
      <c r="D32" s="121">
        <v>4.2250490188598633</v>
      </c>
      <c r="E32" s="121">
        <v>0.78497076034545898</v>
      </c>
      <c r="F32" s="121">
        <v>0.81619441509246826</v>
      </c>
      <c r="G32" s="121">
        <v>0.28446781635284424</v>
      </c>
      <c r="H32" s="121">
        <v>0.23924495279788971</v>
      </c>
      <c r="I32" s="122">
        <v>9.5577583312988281</v>
      </c>
      <c r="J32" s="121">
        <v>0.6</v>
      </c>
      <c r="K32" s="121">
        <v>7.2</v>
      </c>
      <c r="L32" s="121">
        <v>1.4107997417449951</v>
      </c>
      <c r="M32" s="123">
        <v>11</v>
      </c>
      <c r="N32" s="56"/>
      <c r="O32" s="121">
        <v>1.75</v>
      </c>
      <c r="P32" s="121">
        <v>3.8000000000000003</v>
      </c>
      <c r="Q32" s="127">
        <v>4</v>
      </c>
      <c r="R32" s="56"/>
      <c r="S32" s="129">
        <v>15</v>
      </c>
    </row>
    <row r="33" spans="1:19" ht="20.100000000000001" customHeight="1" x14ac:dyDescent="0.25">
      <c r="A33" s="119" t="s">
        <v>44</v>
      </c>
      <c r="B33" s="56"/>
      <c r="C33" s="121">
        <v>14.160299301147461</v>
      </c>
      <c r="D33" s="121">
        <v>73.411521911621094</v>
      </c>
      <c r="E33" s="121">
        <v>27.204526901245117</v>
      </c>
      <c r="F33" s="121">
        <v>28.12623405456543</v>
      </c>
      <c r="G33" s="121">
        <v>13.49246883392334</v>
      </c>
      <c r="H33" s="121">
        <v>9.0958003997802734</v>
      </c>
      <c r="I33" s="122">
        <v>165.4908447265625</v>
      </c>
      <c r="J33" s="121">
        <v>11.5</v>
      </c>
      <c r="K33" s="121">
        <v>9.8000000000000007</v>
      </c>
      <c r="L33" s="121">
        <v>18.06028938293457</v>
      </c>
      <c r="M33" s="123">
        <v>184</v>
      </c>
      <c r="N33" s="56"/>
      <c r="O33" s="121">
        <v>16.2</v>
      </c>
      <c r="P33" s="121">
        <v>7.1000000000000005</v>
      </c>
      <c r="Q33" s="127">
        <v>29</v>
      </c>
      <c r="R33" s="56"/>
      <c r="S33" s="129">
        <v>213</v>
      </c>
    </row>
    <row r="34" spans="1:19" ht="20.100000000000001" customHeight="1" x14ac:dyDescent="0.25">
      <c r="A34" s="119" t="s">
        <v>29</v>
      </c>
      <c r="B34" s="56"/>
      <c r="C34" s="121">
        <v>4.3116211891174316</v>
      </c>
      <c r="D34" s="121">
        <v>19.543546676635742</v>
      </c>
      <c r="E34" s="121">
        <v>9.402557373046875</v>
      </c>
      <c r="F34" s="121">
        <v>9.8724298477172852</v>
      </c>
      <c r="G34" s="121">
        <v>6.3819169998168945</v>
      </c>
      <c r="H34" s="121">
        <v>3.3273909091949463</v>
      </c>
      <c r="I34" s="122">
        <v>52.839462280273438</v>
      </c>
      <c r="J34" s="121">
        <v>2</v>
      </c>
      <c r="K34" s="121">
        <v>8</v>
      </c>
      <c r="L34" s="121">
        <v>6.8549327850341797</v>
      </c>
      <c r="M34" s="123">
        <v>60</v>
      </c>
      <c r="N34" s="56"/>
      <c r="O34" s="121">
        <v>4.25</v>
      </c>
      <c r="P34" s="121">
        <v>5.5</v>
      </c>
      <c r="Q34" s="127">
        <v>12</v>
      </c>
      <c r="R34" s="56"/>
      <c r="S34" s="129">
        <v>72</v>
      </c>
    </row>
    <row r="35" spans="1:19" ht="20.100000000000001" customHeight="1" x14ac:dyDescent="0.25">
      <c r="A35" s="119" t="s">
        <v>30</v>
      </c>
      <c r="B35" s="56"/>
      <c r="C35" s="121">
        <v>4.2986454963684082</v>
      </c>
      <c r="D35" s="121">
        <v>13.082740783691406</v>
      </c>
      <c r="E35" s="121">
        <v>6.7812566757202148</v>
      </c>
      <c r="F35" s="121">
        <v>9.2136211395263672</v>
      </c>
      <c r="G35" s="121">
        <v>4.4678373336791992</v>
      </c>
      <c r="H35" s="121">
        <v>1.3344452381134033</v>
      </c>
      <c r="I35" s="122">
        <v>39.178546905517578</v>
      </c>
      <c r="J35" s="121">
        <v>0</v>
      </c>
      <c r="K35" s="121">
        <v>8</v>
      </c>
      <c r="L35" s="121">
        <v>4.8973183631896973</v>
      </c>
      <c r="M35" s="123">
        <v>45</v>
      </c>
      <c r="N35" s="56"/>
      <c r="O35" s="121">
        <v>8.34</v>
      </c>
      <c r="P35" s="121">
        <v>5.5</v>
      </c>
      <c r="Q35" s="127">
        <v>10</v>
      </c>
      <c r="R35" s="56"/>
      <c r="S35" s="129">
        <v>55</v>
      </c>
    </row>
    <row r="36" spans="1:19" ht="20.100000000000001" customHeight="1" x14ac:dyDescent="0.25">
      <c r="A36" s="119" t="s">
        <v>55</v>
      </c>
      <c r="B36" s="56"/>
      <c r="C36" s="121">
        <v>60.524452209472656</v>
      </c>
      <c r="D36" s="121">
        <v>429.36849975585938</v>
      </c>
      <c r="E36" s="121">
        <v>276.16864013671875</v>
      </c>
      <c r="F36" s="121">
        <v>199.38055419921875</v>
      </c>
      <c r="G36" s="121">
        <v>85.275466918945313</v>
      </c>
      <c r="H36" s="121">
        <v>44.419795989990234</v>
      </c>
      <c r="I36" s="122">
        <v>1095.137451171875</v>
      </c>
      <c r="J36" s="121">
        <v>68.637500000000003</v>
      </c>
      <c r="K36" s="121">
        <v>10.5</v>
      </c>
      <c r="L36" s="121">
        <v>110.83570861816406</v>
      </c>
      <c r="M36" s="123">
        <v>1206</v>
      </c>
      <c r="N36" s="56"/>
      <c r="O36" s="121">
        <v>176.13749999999999</v>
      </c>
      <c r="P36" s="121">
        <v>7.1</v>
      </c>
      <c r="Q36" s="127">
        <v>195</v>
      </c>
      <c r="R36" s="56"/>
      <c r="S36" s="129">
        <v>1401</v>
      </c>
    </row>
    <row r="37" spans="1:19" ht="20.100000000000001" customHeight="1" x14ac:dyDescent="0.25">
      <c r="A37" s="119" t="s">
        <v>31</v>
      </c>
      <c r="B37" s="56"/>
      <c r="C37" s="121">
        <v>10.406802177429199</v>
      </c>
      <c r="D37" s="121">
        <v>48.761886596679688</v>
      </c>
      <c r="E37" s="121">
        <v>23.77685546875</v>
      </c>
      <c r="F37" s="121">
        <v>27.045486450195313</v>
      </c>
      <c r="G37" s="121">
        <v>11.84172534942627</v>
      </c>
      <c r="H37" s="121">
        <v>5.7131991386413574</v>
      </c>
      <c r="I37" s="122">
        <v>127.54595184326172</v>
      </c>
      <c r="J37" s="121">
        <v>1.5</v>
      </c>
      <c r="K37" s="121">
        <v>8</v>
      </c>
      <c r="L37" s="121">
        <v>16.130744934082031</v>
      </c>
      <c r="M37" s="123">
        <v>144</v>
      </c>
      <c r="N37" s="56"/>
      <c r="O37" s="121">
        <v>7.5</v>
      </c>
      <c r="P37" s="121">
        <v>5.5</v>
      </c>
      <c r="Q37" s="127">
        <v>28</v>
      </c>
      <c r="R37" s="56"/>
      <c r="S37" s="129">
        <v>172</v>
      </c>
    </row>
    <row r="38" spans="1:19" ht="20.100000000000001" customHeight="1" x14ac:dyDescent="0.25">
      <c r="A38" s="119" t="s">
        <v>15</v>
      </c>
      <c r="B38" s="56"/>
      <c r="C38" s="121">
        <v>1.1014014482498169</v>
      </c>
      <c r="D38" s="121">
        <v>3.6122598648071289</v>
      </c>
      <c r="E38" s="121">
        <v>1.2803415060043335</v>
      </c>
      <c r="F38" s="121">
        <v>2.0155603885650635</v>
      </c>
      <c r="G38" s="121">
        <v>1.3075037002563477</v>
      </c>
      <c r="H38" s="121">
        <v>0.81261944770812988</v>
      </c>
      <c r="I38" s="122">
        <v>10.12968635559082</v>
      </c>
      <c r="J38" s="121">
        <v>0.05</v>
      </c>
      <c r="K38" s="121">
        <v>7.2</v>
      </c>
      <c r="L38" s="121">
        <v>1.4138453006744385</v>
      </c>
      <c r="M38" s="123">
        <v>12</v>
      </c>
      <c r="N38" s="56"/>
      <c r="O38" s="121">
        <v>1.05</v>
      </c>
      <c r="P38" s="121">
        <v>3.8000000000000003</v>
      </c>
      <c r="Q38" s="127">
        <v>4</v>
      </c>
      <c r="R38" s="56"/>
      <c r="S38" s="129">
        <v>16</v>
      </c>
    </row>
    <row r="39" spans="1:19" ht="20.100000000000001" customHeight="1" x14ac:dyDescent="0.25">
      <c r="A39" s="119" t="s">
        <v>56</v>
      </c>
      <c r="B39" s="56"/>
      <c r="C39" s="121">
        <v>48.28515625</v>
      </c>
      <c r="D39" s="121">
        <v>284.52642822265625</v>
      </c>
      <c r="E39" s="121">
        <v>191.18611145019531</v>
      </c>
      <c r="F39" s="121">
        <v>195.34634399414063</v>
      </c>
      <c r="G39" s="121">
        <v>76.060897827148438</v>
      </c>
      <c r="H39" s="121">
        <v>47.793937683105469</v>
      </c>
      <c r="I39" s="122">
        <v>843.1988525390625</v>
      </c>
      <c r="J39" s="121">
        <v>40</v>
      </c>
      <c r="K39" s="121">
        <v>10.5</v>
      </c>
      <c r="L39" s="121">
        <v>84.114173889160156</v>
      </c>
      <c r="M39" s="123">
        <v>928</v>
      </c>
      <c r="N39" s="56"/>
      <c r="O39" s="121">
        <v>131</v>
      </c>
      <c r="P39" s="121">
        <v>7.1</v>
      </c>
      <c r="Q39" s="127">
        <v>150</v>
      </c>
      <c r="R39" s="56"/>
      <c r="S39" s="129">
        <v>1078</v>
      </c>
    </row>
    <row r="40" spans="1:19" ht="20.100000000000001" customHeight="1" x14ac:dyDescent="0.25">
      <c r="A40" s="119" t="s">
        <v>57</v>
      </c>
      <c r="B40" s="56"/>
      <c r="C40" s="121">
        <v>34.227855682373047</v>
      </c>
      <c r="D40" s="121">
        <v>213.39869689941406</v>
      </c>
      <c r="E40" s="121">
        <v>141.89341735839844</v>
      </c>
      <c r="F40" s="121">
        <v>125.31752777099609</v>
      </c>
      <c r="G40" s="121">
        <v>57.998031616210938</v>
      </c>
      <c r="H40" s="121">
        <v>22.696550369262695</v>
      </c>
      <c r="I40" s="122">
        <v>595.5321044921875</v>
      </c>
      <c r="J40" s="121">
        <v>28.8</v>
      </c>
      <c r="K40" s="121">
        <v>10.5</v>
      </c>
      <c r="L40" s="121">
        <v>59.460201263427734</v>
      </c>
      <c r="M40" s="123">
        <v>655</v>
      </c>
      <c r="N40" s="56"/>
      <c r="O40" s="121">
        <v>62.61</v>
      </c>
      <c r="P40" s="121">
        <v>7.1</v>
      </c>
      <c r="Q40" s="127">
        <v>102</v>
      </c>
      <c r="R40" s="56"/>
      <c r="S40" s="129">
        <v>757</v>
      </c>
    </row>
    <row r="41" spans="1:19" ht="20.100000000000001" customHeight="1" x14ac:dyDescent="0.25">
      <c r="A41" s="119" t="s">
        <v>16</v>
      </c>
      <c r="B41" s="56"/>
      <c r="C41" s="121">
        <v>1.3174378871917725</v>
      </c>
      <c r="D41" s="121">
        <v>8.9832115173339844</v>
      </c>
      <c r="E41" s="121">
        <v>3.9651050567626953</v>
      </c>
      <c r="F41" s="121">
        <v>4.7439346313476563</v>
      </c>
      <c r="G41" s="121">
        <v>1.753598690032959</v>
      </c>
      <c r="H41" s="121">
        <v>0.99514979124069214</v>
      </c>
      <c r="I41" s="122">
        <v>21.758438110351563</v>
      </c>
      <c r="J41" s="121">
        <v>0</v>
      </c>
      <c r="K41" s="121">
        <v>7.2</v>
      </c>
      <c r="L41" s="121">
        <v>3.0220053195953369</v>
      </c>
      <c r="M41" s="123">
        <v>25</v>
      </c>
      <c r="N41" s="56"/>
      <c r="O41" s="121">
        <v>1.5</v>
      </c>
      <c r="P41" s="121">
        <v>3.8000000000000003</v>
      </c>
      <c r="Q41" s="127">
        <v>7</v>
      </c>
      <c r="R41" s="56"/>
      <c r="S41" s="129">
        <v>32</v>
      </c>
    </row>
    <row r="42" spans="1:19" ht="20.100000000000001" customHeight="1" x14ac:dyDescent="0.25">
      <c r="A42" s="119" t="s">
        <v>58</v>
      </c>
      <c r="B42" s="56"/>
      <c r="C42" s="121">
        <v>34.001518249511719</v>
      </c>
      <c r="D42" s="121">
        <v>393.3424072265625</v>
      </c>
      <c r="E42" s="121">
        <v>198.42396545410156</v>
      </c>
      <c r="F42" s="121">
        <v>209.32620239257813</v>
      </c>
      <c r="G42" s="121">
        <v>67.388565063476563</v>
      </c>
      <c r="H42" s="121">
        <v>69.003547668457031</v>
      </c>
      <c r="I42" s="122">
        <v>971.4862060546875</v>
      </c>
      <c r="J42" s="121">
        <v>45</v>
      </c>
      <c r="K42" s="121">
        <v>10.5</v>
      </c>
      <c r="L42" s="121">
        <v>96.808212280273438</v>
      </c>
      <c r="M42" s="123">
        <v>1069</v>
      </c>
      <c r="N42" s="56"/>
      <c r="O42" s="121">
        <v>94.399999999999991</v>
      </c>
      <c r="P42" s="121">
        <v>7.1</v>
      </c>
      <c r="Q42" s="127">
        <v>164</v>
      </c>
      <c r="R42" s="56"/>
      <c r="S42" s="129">
        <v>1233</v>
      </c>
    </row>
    <row r="43" spans="1:19" ht="20.100000000000001" customHeight="1" x14ac:dyDescent="0.25">
      <c r="A43" s="119" t="s">
        <v>59</v>
      </c>
      <c r="B43" s="56"/>
      <c r="C43" s="121">
        <v>72.18597412109375</v>
      </c>
      <c r="D43" s="121">
        <v>318.22537231445313</v>
      </c>
      <c r="E43" s="121">
        <v>260.7330322265625</v>
      </c>
      <c r="F43" s="121">
        <v>226.7884521484375</v>
      </c>
      <c r="G43" s="121">
        <v>74.200965881347656</v>
      </c>
      <c r="H43" s="121">
        <v>32.472091674804688</v>
      </c>
      <c r="I43" s="122">
        <v>984.60589599609375</v>
      </c>
      <c r="J43" s="121">
        <v>38.68</v>
      </c>
      <c r="K43" s="121">
        <v>10.5</v>
      </c>
      <c r="L43" s="121">
        <v>97.455802917480469</v>
      </c>
      <c r="M43" s="123">
        <v>1083</v>
      </c>
      <c r="N43" s="56"/>
      <c r="O43" s="121">
        <v>95.679999999999978</v>
      </c>
      <c r="P43" s="121">
        <v>7.1</v>
      </c>
      <c r="Q43" s="127">
        <v>167</v>
      </c>
      <c r="R43" s="56"/>
      <c r="S43" s="129">
        <v>1250</v>
      </c>
    </row>
    <row r="44" spans="1:19" ht="20.100000000000001" customHeight="1" x14ac:dyDescent="0.25">
      <c r="A44" s="119" t="s">
        <v>60</v>
      </c>
      <c r="B44" s="56"/>
      <c r="C44" s="121">
        <v>16.149070739746094</v>
      </c>
      <c r="D44" s="121">
        <v>69.995719909667969</v>
      </c>
      <c r="E44" s="121">
        <v>89.115005493164063</v>
      </c>
      <c r="F44" s="121">
        <v>39.596309661865234</v>
      </c>
      <c r="G44" s="121">
        <v>28.796718597412109</v>
      </c>
      <c r="H44" s="121">
        <v>12.704301834106445</v>
      </c>
      <c r="I44" s="122">
        <v>256.35711669921875</v>
      </c>
      <c r="J44" s="121">
        <v>17.5</v>
      </c>
      <c r="K44" s="121">
        <v>9.8000000000000007</v>
      </c>
      <c r="L44" s="121">
        <v>27.944602966308594</v>
      </c>
      <c r="M44" s="123">
        <v>285</v>
      </c>
      <c r="N44" s="56"/>
      <c r="O44" s="121">
        <v>27.5</v>
      </c>
      <c r="P44" s="121">
        <v>7.1000000000000005</v>
      </c>
      <c r="Q44" s="127">
        <v>45</v>
      </c>
      <c r="R44" s="56"/>
      <c r="S44" s="129">
        <v>330</v>
      </c>
    </row>
    <row r="45" spans="1:19" ht="20.100000000000001" customHeight="1" x14ac:dyDescent="0.25">
      <c r="A45" s="119" t="s">
        <v>45</v>
      </c>
      <c r="B45" s="56"/>
      <c r="C45" s="121">
        <v>24.786531448364258</v>
      </c>
      <c r="D45" s="121">
        <v>136.21261596679688</v>
      </c>
      <c r="E45" s="121">
        <v>58.708770751953125</v>
      </c>
      <c r="F45" s="121">
        <v>59.105724334716797</v>
      </c>
      <c r="G45" s="121">
        <v>26.321443557739258</v>
      </c>
      <c r="H45" s="121">
        <v>16.8048095703125</v>
      </c>
      <c r="I45" s="122">
        <v>321.93988037109375</v>
      </c>
      <c r="J45" s="121">
        <v>8</v>
      </c>
      <c r="K45" s="121">
        <v>9.8000000000000007</v>
      </c>
      <c r="L45" s="121">
        <v>33.667335510253906</v>
      </c>
      <c r="M45" s="123">
        <v>356</v>
      </c>
      <c r="N45" s="56"/>
      <c r="O45" s="121">
        <v>15.129999999999999</v>
      </c>
      <c r="P45" s="121">
        <v>7.1000000000000005</v>
      </c>
      <c r="Q45" s="127">
        <v>53</v>
      </c>
      <c r="R45" s="56"/>
      <c r="S45" s="129">
        <v>409</v>
      </c>
    </row>
    <row r="46" spans="1:19" ht="20.100000000000001" customHeight="1" x14ac:dyDescent="0.25">
      <c r="A46" s="119" t="s">
        <v>32</v>
      </c>
      <c r="B46" s="56"/>
      <c r="C46" s="121">
        <v>13.745116233825684</v>
      </c>
      <c r="D46" s="121">
        <v>53.982761383056641</v>
      </c>
      <c r="E46" s="121">
        <v>15.536771774291992</v>
      </c>
      <c r="F46" s="121">
        <v>15.440890312194824</v>
      </c>
      <c r="G46" s="121">
        <v>11.844703674316406</v>
      </c>
      <c r="H46" s="121">
        <v>5.0153288841247559</v>
      </c>
      <c r="I46" s="122">
        <v>115.56557464599609</v>
      </c>
      <c r="J46" s="121">
        <v>4</v>
      </c>
      <c r="K46" s="121">
        <v>8</v>
      </c>
      <c r="L46" s="121">
        <v>14.945696830749512</v>
      </c>
      <c r="M46" s="123">
        <v>131</v>
      </c>
      <c r="N46" s="56"/>
      <c r="O46" s="121">
        <v>8</v>
      </c>
      <c r="P46" s="121">
        <v>5.5</v>
      </c>
      <c r="Q46" s="127">
        <v>26</v>
      </c>
      <c r="R46" s="56"/>
      <c r="S46" s="129">
        <v>157</v>
      </c>
    </row>
    <row r="47" spans="1:19" ht="20.100000000000001" customHeight="1" x14ac:dyDescent="0.25">
      <c r="A47" s="119" t="s">
        <v>46</v>
      </c>
      <c r="B47" s="56"/>
      <c r="C47" s="121">
        <v>23.991605758666992</v>
      </c>
      <c r="D47" s="121">
        <v>77.094764709472656</v>
      </c>
      <c r="E47" s="121">
        <v>40.424556732177734</v>
      </c>
      <c r="F47" s="121">
        <v>33.719497680664063</v>
      </c>
      <c r="G47" s="121">
        <v>31.046926498413086</v>
      </c>
      <c r="H47" s="121">
        <v>8.7847156524658203</v>
      </c>
      <c r="I47" s="122">
        <v>215.06207275390625</v>
      </c>
      <c r="J47" s="121">
        <v>7.5</v>
      </c>
      <c r="K47" s="121">
        <v>9.8000000000000007</v>
      </c>
      <c r="L47" s="121">
        <v>22.710414886474609</v>
      </c>
      <c r="M47" s="123">
        <v>238</v>
      </c>
      <c r="N47" s="56"/>
      <c r="O47" s="121">
        <v>13.5</v>
      </c>
      <c r="P47" s="121">
        <v>7.1000000000000005</v>
      </c>
      <c r="Q47" s="127">
        <v>36</v>
      </c>
      <c r="R47" s="56"/>
      <c r="S47" s="129">
        <v>274</v>
      </c>
    </row>
    <row r="48" spans="1:19" ht="20.100000000000001" customHeight="1" x14ac:dyDescent="0.25">
      <c r="A48" s="119" t="s">
        <v>47</v>
      </c>
      <c r="B48" s="56"/>
      <c r="C48" s="121">
        <v>18.728912353515625</v>
      </c>
      <c r="D48" s="121">
        <v>71.66754150390625</v>
      </c>
      <c r="E48" s="121">
        <v>26.211963653564453</v>
      </c>
      <c r="F48" s="121">
        <v>24.497169494628906</v>
      </c>
      <c r="G48" s="121">
        <v>14.465789794921875</v>
      </c>
      <c r="H48" s="121">
        <v>10.398836135864258</v>
      </c>
      <c r="I48" s="122">
        <v>165.97021484375</v>
      </c>
      <c r="J48" s="121">
        <v>13</v>
      </c>
      <c r="K48" s="121">
        <v>9.8000000000000007</v>
      </c>
      <c r="L48" s="121">
        <v>18.262266159057617</v>
      </c>
      <c r="M48" s="123">
        <v>185</v>
      </c>
      <c r="N48" s="56"/>
      <c r="O48" s="121">
        <v>20.5</v>
      </c>
      <c r="P48" s="121">
        <v>7.1000000000000005</v>
      </c>
      <c r="Q48" s="127">
        <v>29</v>
      </c>
      <c r="R48" s="56"/>
      <c r="S48" s="129">
        <v>214</v>
      </c>
    </row>
    <row r="49" spans="1:19" ht="20.100000000000001" customHeight="1" x14ac:dyDescent="0.25">
      <c r="A49" s="119" t="s">
        <v>61</v>
      </c>
      <c r="B49" s="56"/>
      <c r="C49" s="121">
        <v>30.26530647277832</v>
      </c>
      <c r="D49" s="121">
        <v>197.21678161621094</v>
      </c>
      <c r="E49" s="121">
        <v>103.03192138671875</v>
      </c>
      <c r="F49" s="121">
        <v>84.921218872070313</v>
      </c>
      <c r="G49" s="121">
        <v>52.09808349609375</v>
      </c>
      <c r="H49" s="121">
        <v>19.536758422851563</v>
      </c>
      <c r="I49" s="122">
        <v>487.070068359375</v>
      </c>
      <c r="J49" s="121">
        <v>25.07</v>
      </c>
      <c r="K49" s="121">
        <v>10.5</v>
      </c>
      <c r="L49" s="121">
        <v>48.775245666503906</v>
      </c>
      <c r="M49" s="123">
        <v>536</v>
      </c>
      <c r="N49" s="56"/>
      <c r="O49" s="121">
        <v>51.329999999999991</v>
      </c>
      <c r="P49" s="121">
        <v>7.1</v>
      </c>
      <c r="Q49" s="127">
        <v>83</v>
      </c>
      <c r="R49" s="56"/>
      <c r="S49" s="129">
        <v>619</v>
      </c>
    </row>
    <row r="50" spans="1:19" ht="20.100000000000001" customHeight="1" x14ac:dyDescent="0.25">
      <c r="A50" s="119" t="s">
        <v>33</v>
      </c>
      <c r="B50" s="56"/>
      <c r="C50" s="121">
        <v>11.27694034576416</v>
      </c>
      <c r="D50" s="121">
        <v>42.270946502685547</v>
      </c>
      <c r="E50" s="121">
        <v>15.000716209411621</v>
      </c>
      <c r="F50" s="121">
        <v>15.292007446289063</v>
      </c>
      <c r="G50" s="121">
        <v>8.0987215042114258</v>
      </c>
      <c r="H50" s="121">
        <v>3.9528863430023193</v>
      </c>
      <c r="I50" s="122">
        <v>95.892219543457031</v>
      </c>
      <c r="J50" s="121">
        <v>4.5</v>
      </c>
      <c r="K50" s="121">
        <v>8</v>
      </c>
      <c r="L50" s="121">
        <v>12.549027442932129</v>
      </c>
      <c r="M50" s="123">
        <v>109</v>
      </c>
      <c r="N50" s="56"/>
      <c r="O50" s="121">
        <v>16.2</v>
      </c>
      <c r="P50" s="121">
        <v>5.5</v>
      </c>
      <c r="Q50" s="127">
        <v>23</v>
      </c>
      <c r="R50" s="56"/>
      <c r="S50" s="129">
        <v>132</v>
      </c>
    </row>
    <row r="51" spans="1:19" ht="20.100000000000001" customHeight="1" x14ac:dyDescent="0.25">
      <c r="A51" s="119" t="s">
        <v>34</v>
      </c>
      <c r="B51" s="56"/>
      <c r="C51" s="121">
        <v>9.8983287811279297</v>
      </c>
      <c r="D51" s="121">
        <v>51.073329925537109</v>
      </c>
      <c r="E51" s="121">
        <v>14.993350028991699</v>
      </c>
      <c r="F51" s="121">
        <v>19.002655029296875</v>
      </c>
      <c r="G51" s="121">
        <v>12.084202766418457</v>
      </c>
      <c r="H51" s="121">
        <v>5.4026341438293457</v>
      </c>
      <c r="I51" s="122">
        <v>112.45449829101563</v>
      </c>
      <c r="J51" s="121">
        <v>1</v>
      </c>
      <c r="K51" s="121">
        <v>8</v>
      </c>
      <c r="L51" s="121">
        <v>14.181812286376953</v>
      </c>
      <c r="M51" s="123">
        <v>127</v>
      </c>
      <c r="N51" s="56"/>
      <c r="O51" s="121">
        <v>55</v>
      </c>
      <c r="P51" s="121">
        <v>5.5</v>
      </c>
      <c r="Q51" s="127">
        <v>34</v>
      </c>
      <c r="R51" s="56"/>
      <c r="S51" s="129">
        <v>161</v>
      </c>
    </row>
    <row r="52" spans="1:19" ht="20.100000000000001" customHeight="1" x14ac:dyDescent="0.25">
      <c r="A52" s="119" t="s">
        <v>17</v>
      </c>
      <c r="B52" s="56"/>
      <c r="C52" s="121">
        <v>0.17022955417633057</v>
      </c>
      <c r="D52" s="121">
        <v>0.84334564208984375</v>
      </c>
      <c r="E52" s="121">
        <v>0.14592255651950836</v>
      </c>
      <c r="F52" s="121">
        <v>0.23387041687965393</v>
      </c>
      <c r="G52" s="121">
        <v>0.24752037227153778</v>
      </c>
      <c r="H52" s="121">
        <v>7.0275150239467621E-2</v>
      </c>
      <c r="I52" s="122">
        <v>1.7111636400222778</v>
      </c>
      <c r="J52" s="121">
        <v>0</v>
      </c>
      <c r="K52" s="121">
        <v>7.2</v>
      </c>
      <c r="L52" s="121">
        <v>0.23766161501407623</v>
      </c>
      <c r="M52" s="123">
        <v>2</v>
      </c>
      <c r="N52" s="56"/>
      <c r="O52" s="121">
        <v>1.62</v>
      </c>
      <c r="P52" s="121">
        <v>3.8000000000000003</v>
      </c>
      <c r="Q52" s="127">
        <v>1</v>
      </c>
      <c r="R52" s="56"/>
      <c r="S52" s="129">
        <v>3</v>
      </c>
    </row>
    <row r="53" spans="1:19" ht="20.100000000000001" customHeight="1" x14ac:dyDescent="0.25">
      <c r="A53" s="119" t="s">
        <v>35</v>
      </c>
      <c r="B53" s="56"/>
      <c r="C53" s="121">
        <v>4.3754229545593262</v>
      </c>
      <c r="D53" s="121">
        <v>12.608559608459473</v>
      </c>
      <c r="E53" s="121">
        <v>3.3482635021209717</v>
      </c>
      <c r="F53" s="121">
        <v>4.8198819160461426</v>
      </c>
      <c r="G53" s="121">
        <v>3.3341279029846191</v>
      </c>
      <c r="H53" s="121">
        <v>1.4202247858047485</v>
      </c>
      <c r="I53" s="122">
        <v>29.90648078918457</v>
      </c>
      <c r="J53" s="121">
        <v>0.05</v>
      </c>
      <c r="K53" s="121">
        <v>8</v>
      </c>
      <c r="L53" s="121">
        <v>3.7445600032806396</v>
      </c>
      <c r="M53" s="123">
        <v>34</v>
      </c>
      <c r="N53" s="56"/>
      <c r="O53" s="121">
        <v>3.5699999999999994</v>
      </c>
      <c r="P53" s="121">
        <v>5.5</v>
      </c>
      <c r="Q53" s="127">
        <v>7</v>
      </c>
      <c r="R53" s="56"/>
      <c r="S53" s="129">
        <v>41</v>
      </c>
    </row>
    <row r="54" spans="1:19" ht="20.100000000000001" customHeight="1" x14ac:dyDescent="0.25">
      <c r="A54" s="119" t="s">
        <v>48</v>
      </c>
      <c r="B54" s="56"/>
      <c r="C54" s="121">
        <v>17.263668060302734</v>
      </c>
      <c r="D54" s="121">
        <v>52.642356872558594</v>
      </c>
      <c r="E54" s="121">
        <v>36.906261444091797</v>
      </c>
      <c r="F54" s="121">
        <v>40.596977233886719</v>
      </c>
      <c r="G54" s="121">
        <v>15.80915355682373</v>
      </c>
      <c r="H54" s="121">
        <v>5.6941366195678711</v>
      </c>
      <c r="I54" s="122">
        <v>168.91255187988281</v>
      </c>
      <c r="J54" s="121">
        <v>2</v>
      </c>
      <c r="K54" s="121">
        <v>9.8000000000000007</v>
      </c>
      <c r="L54" s="121">
        <v>17.440055847167969</v>
      </c>
      <c r="M54" s="123">
        <v>187</v>
      </c>
      <c r="N54" s="56"/>
      <c r="O54" s="121">
        <v>7</v>
      </c>
      <c r="P54" s="121">
        <v>7.1000000000000005</v>
      </c>
      <c r="Q54" s="127">
        <v>28</v>
      </c>
      <c r="R54" s="56"/>
      <c r="S54" s="129">
        <v>215</v>
      </c>
    </row>
    <row r="55" spans="1:19" ht="20.100000000000001" customHeight="1" x14ac:dyDescent="0.25">
      <c r="A55" s="119" t="s">
        <v>49</v>
      </c>
      <c r="B55" s="56"/>
      <c r="C55" s="121">
        <v>14.595551490783691</v>
      </c>
      <c r="D55" s="121">
        <v>62.859970092773438</v>
      </c>
      <c r="E55" s="121">
        <v>26.864250183105469</v>
      </c>
      <c r="F55" s="121">
        <v>28.851673126220703</v>
      </c>
      <c r="G55" s="121">
        <v>22.671232223510742</v>
      </c>
      <c r="H55" s="121">
        <v>10.881316184997559</v>
      </c>
      <c r="I55" s="122">
        <v>166.7239990234375</v>
      </c>
      <c r="J55" s="121">
        <v>6.2</v>
      </c>
      <c r="K55" s="121">
        <v>9.8000000000000007</v>
      </c>
      <c r="L55" s="121">
        <v>17.645305633544922</v>
      </c>
      <c r="M55" s="123">
        <v>185</v>
      </c>
      <c r="N55" s="56"/>
      <c r="O55" s="121">
        <v>18.399999999999999</v>
      </c>
      <c r="P55" s="121">
        <v>7.1000000000000005</v>
      </c>
      <c r="Q55" s="127">
        <v>29</v>
      </c>
      <c r="R55" s="56"/>
      <c r="S55" s="129">
        <v>214</v>
      </c>
    </row>
    <row r="56" spans="1:19" ht="20.100000000000001" customHeight="1" x14ac:dyDescent="0.25">
      <c r="A56" s="119" t="s">
        <v>50</v>
      </c>
      <c r="B56" s="56"/>
      <c r="C56" s="121">
        <v>16.130611419677734</v>
      </c>
      <c r="D56" s="121">
        <v>79.170204162597656</v>
      </c>
      <c r="E56" s="121">
        <v>41.337657928466797</v>
      </c>
      <c r="F56" s="121">
        <v>49.373695373535156</v>
      </c>
      <c r="G56" s="121">
        <v>22.743576049804688</v>
      </c>
      <c r="H56" s="121">
        <v>10.255520820617676</v>
      </c>
      <c r="I56" s="122">
        <v>219.01126098632813</v>
      </c>
      <c r="J56" s="121">
        <v>3</v>
      </c>
      <c r="K56" s="121">
        <v>9.8000000000000007</v>
      </c>
      <c r="L56" s="121">
        <v>22.654211044311523</v>
      </c>
      <c r="M56" s="123">
        <v>242</v>
      </c>
      <c r="N56" s="56"/>
      <c r="O56" s="121">
        <v>8.5</v>
      </c>
      <c r="P56" s="121">
        <v>7.1000000000000005</v>
      </c>
      <c r="Q56" s="127">
        <v>36</v>
      </c>
      <c r="R56" s="56"/>
      <c r="S56" s="129">
        <v>278</v>
      </c>
    </row>
    <row r="57" spans="1:19" ht="20.100000000000001" customHeight="1" x14ac:dyDescent="0.25">
      <c r="A57" s="119" t="s">
        <v>36</v>
      </c>
      <c r="B57" s="56"/>
      <c r="C57" s="121">
        <v>4.497312068939209</v>
      </c>
      <c r="D57" s="121">
        <v>22.579456329345703</v>
      </c>
      <c r="E57" s="121">
        <v>6.9214572906494141</v>
      </c>
      <c r="F57" s="121">
        <v>11.27017879486084</v>
      </c>
      <c r="G57" s="121">
        <v>3.5234904289245605</v>
      </c>
      <c r="H57" s="121">
        <v>2.783599853515625</v>
      </c>
      <c r="I57" s="122">
        <v>51.575492858886719</v>
      </c>
      <c r="J57" s="121">
        <v>1</v>
      </c>
      <c r="K57" s="121">
        <v>8</v>
      </c>
      <c r="L57" s="121">
        <v>6.5719366073608398</v>
      </c>
      <c r="M57" s="123">
        <v>59</v>
      </c>
      <c r="N57" s="56"/>
      <c r="O57" s="121">
        <v>6</v>
      </c>
      <c r="P57" s="121">
        <v>5.5</v>
      </c>
      <c r="Q57" s="127">
        <v>12</v>
      </c>
      <c r="R57" s="56"/>
      <c r="S57" s="129">
        <v>71</v>
      </c>
    </row>
    <row r="58" spans="1:19" ht="20.100000000000001" customHeight="1" x14ac:dyDescent="0.25">
      <c r="A58" s="119" t="s">
        <v>37</v>
      </c>
      <c r="B58" s="56"/>
      <c r="C58" s="121">
        <v>3.3731303215026855</v>
      </c>
      <c r="D58" s="121">
        <v>20.264289855957031</v>
      </c>
      <c r="E58" s="121">
        <v>5.5209927558898926</v>
      </c>
      <c r="F58" s="121">
        <v>8.1824264526367188</v>
      </c>
      <c r="G58" s="121">
        <v>3.6150045394897461</v>
      </c>
      <c r="H58" s="121">
        <v>2.1264891624450684</v>
      </c>
      <c r="I58" s="122">
        <v>43.082332611083984</v>
      </c>
      <c r="J58" s="121">
        <v>1.25</v>
      </c>
      <c r="K58" s="121">
        <v>8</v>
      </c>
      <c r="L58" s="121">
        <v>5.541541576385498</v>
      </c>
      <c r="M58" s="123">
        <v>49</v>
      </c>
      <c r="N58" s="56"/>
      <c r="O58" s="121">
        <v>3.5</v>
      </c>
      <c r="P58" s="121">
        <v>5.5</v>
      </c>
      <c r="Q58" s="127">
        <v>10</v>
      </c>
      <c r="R58" s="56"/>
      <c r="S58" s="129">
        <v>59</v>
      </c>
    </row>
    <row r="59" spans="1:19" ht="20.100000000000001" customHeight="1" x14ac:dyDescent="0.25">
      <c r="A59" s="119" t="s">
        <v>18</v>
      </c>
      <c r="B59" s="56"/>
      <c r="C59" s="121">
        <v>0.68995064496994019</v>
      </c>
      <c r="D59" s="121">
        <v>4.2361230850219727</v>
      </c>
      <c r="E59" s="121">
        <v>1.3871147632598877</v>
      </c>
      <c r="F59" s="121">
        <v>1.7592365741729736</v>
      </c>
      <c r="G59" s="121">
        <v>0.92471182346343994</v>
      </c>
      <c r="H59" s="121">
        <v>0.67308676242828369</v>
      </c>
      <c r="I59" s="122">
        <v>9.6702232360839844</v>
      </c>
      <c r="J59" s="121">
        <v>0</v>
      </c>
      <c r="K59" s="121">
        <v>7.2</v>
      </c>
      <c r="L59" s="121">
        <v>1.3430866003036499</v>
      </c>
      <c r="M59" s="123">
        <v>12</v>
      </c>
      <c r="N59" s="56"/>
      <c r="O59" s="121">
        <v>5</v>
      </c>
      <c r="P59" s="121">
        <v>3.8000000000000003</v>
      </c>
      <c r="Q59" s="127">
        <v>5</v>
      </c>
      <c r="R59" s="56"/>
      <c r="S59" s="129">
        <v>17</v>
      </c>
    </row>
    <row r="60" spans="1:19" ht="20.100000000000001" customHeight="1" x14ac:dyDescent="0.25">
      <c r="A60" s="119" t="s">
        <v>51</v>
      </c>
      <c r="B60" s="56"/>
      <c r="C60" s="121">
        <v>14.880155563354492</v>
      </c>
      <c r="D60" s="121">
        <v>90.425491333007813</v>
      </c>
      <c r="E60" s="121">
        <v>33.432956695556641</v>
      </c>
      <c r="F60" s="121">
        <v>39.166233062744141</v>
      </c>
      <c r="G60" s="121">
        <v>15.461708068847656</v>
      </c>
      <c r="H60" s="121">
        <v>16.534099578857422</v>
      </c>
      <c r="I60" s="122">
        <v>209.90065002441406</v>
      </c>
      <c r="J60" s="121">
        <v>3</v>
      </c>
      <c r="K60" s="121">
        <v>9.8000000000000007</v>
      </c>
      <c r="L60" s="121">
        <v>21.724555969238281</v>
      </c>
      <c r="M60" s="123">
        <v>232</v>
      </c>
      <c r="N60" s="56"/>
      <c r="O60" s="121">
        <v>21.5</v>
      </c>
      <c r="P60" s="121">
        <v>7.1000000000000005</v>
      </c>
      <c r="Q60" s="127">
        <v>36</v>
      </c>
      <c r="R60" s="56"/>
      <c r="S60" s="129">
        <v>268</v>
      </c>
    </row>
    <row r="61" spans="1:19" ht="20.100000000000001" customHeight="1" x14ac:dyDescent="0.25">
      <c r="A61" s="119" t="s">
        <v>38</v>
      </c>
      <c r="B61" s="56"/>
      <c r="C61" s="121">
        <v>1.7977006435394287</v>
      </c>
      <c r="D61" s="121">
        <v>15.862130165100098</v>
      </c>
      <c r="E61" s="121">
        <v>4.649540901184082</v>
      </c>
      <c r="F61" s="121">
        <v>4.9865403175354004</v>
      </c>
      <c r="G61" s="121">
        <v>2.9531176090240479</v>
      </c>
      <c r="H61" s="121">
        <v>3.4295864105224609</v>
      </c>
      <c r="I61" s="122">
        <v>33.678615570068359</v>
      </c>
      <c r="J61" s="121">
        <v>0.25</v>
      </c>
      <c r="K61" s="121">
        <v>8</v>
      </c>
      <c r="L61" s="121">
        <v>4.2410769462585449</v>
      </c>
      <c r="M61" s="123">
        <v>38</v>
      </c>
      <c r="N61" s="56"/>
      <c r="O61" s="121">
        <v>2.0499999999999998</v>
      </c>
      <c r="P61" s="121">
        <v>5.5</v>
      </c>
      <c r="Q61" s="127">
        <v>8</v>
      </c>
      <c r="R61" s="56"/>
      <c r="S61" s="129">
        <v>46</v>
      </c>
    </row>
    <row r="62" spans="1:19" ht="20.100000000000001" customHeight="1" x14ac:dyDescent="0.25">
      <c r="A62" s="119" t="s">
        <v>52</v>
      </c>
      <c r="B62" s="56"/>
      <c r="C62" s="121">
        <v>24.071323394775391</v>
      </c>
      <c r="D62" s="121">
        <v>100.74037170410156</v>
      </c>
      <c r="E62" s="121">
        <v>55.403903961181641</v>
      </c>
      <c r="F62" s="121">
        <v>54.966011047363281</v>
      </c>
      <c r="G62" s="121">
        <v>24.238605499267578</v>
      </c>
      <c r="H62" s="121">
        <v>14.180288314819336</v>
      </c>
      <c r="I62" s="122">
        <v>273.60049438476563</v>
      </c>
      <c r="J62" s="121">
        <v>8</v>
      </c>
      <c r="K62" s="121">
        <v>9.8000000000000007</v>
      </c>
      <c r="L62" s="121">
        <v>28.734745025634766</v>
      </c>
      <c r="M62" s="123">
        <v>303</v>
      </c>
      <c r="N62" s="56"/>
      <c r="O62" s="121">
        <v>78.8</v>
      </c>
      <c r="P62" s="121">
        <v>7.1000000000000005</v>
      </c>
      <c r="Q62" s="127">
        <v>54</v>
      </c>
      <c r="R62" s="56"/>
      <c r="S62" s="129">
        <v>357</v>
      </c>
    </row>
    <row r="63" spans="1:19" ht="20.100000000000001" customHeight="1" x14ac:dyDescent="0.25">
      <c r="A63" s="119" t="s">
        <v>39</v>
      </c>
      <c r="B63" s="56"/>
      <c r="C63" s="121">
        <v>6.4632120132446289</v>
      </c>
      <c r="D63" s="121">
        <v>44.72174072265625</v>
      </c>
      <c r="E63" s="121">
        <v>13.063114166259766</v>
      </c>
      <c r="F63" s="121">
        <v>15.270937919616699</v>
      </c>
      <c r="G63" s="121">
        <v>6.496091365814209</v>
      </c>
      <c r="H63" s="121">
        <v>7.6369953155517578</v>
      </c>
      <c r="I63" s="122">
        <v>93.652091979980469</v>
      </c>
      <c r="J63" s="121">
        <v>1</v>
      </c>
      <c r="K63" s="121">
        <v>8</v>
      </c>
      <c r="L63" s="121">
        <v>11.831511497497559</v>
      </c>
      <c r="M63" s="123">
        <v>106</v>
      </c>
      <c r="N63" s="56"/>
      <c r="O63" s="121">
        <v>13</v>
      </c>
      <c r="P63" s="121">
        <v>5.5</v>
      </c>
      <c r="Q63" s="127">
        <v>22</v>
      </c>
      <c r="R63" s="56"/>
      <c r="S63" s="129">
        <v>128</v>
      </c>
    </row>
    <row r="64" spans="1:19" ht="20.100000000000001" customHeight="1" x14ac:dyDescent="0.25">
      <c r="A64" s="119" t="s">
        <v>40</v>
      </c>
      <c r="B64" s="56"/>
      <c r="C64" s="121">
        <v>1.9572576284408569</v>
      </c>
      <c r="D64" s="121">
        <v>15.428338050842285</v>
      </c>
      <c r="E64" s="121">
        <v>5.6514935493469238</v>
      </c>
      <c r="F64" s="121">
        <v>8.2910861968994141</v>
      </c>
      <c r="G64" s="121">
        <v>3.3212976455688477</v>
      </c>
      <c r="H64" s="121">
        <v>2.6847660541534424</v>
      </c>
      <c r="I64" s="122">
        <v>37.334239959716797</v>
      </c>
      <c r="J64" s="121">
        <v>0.25</v>
      </c>
      <c r="K64" s="121">
        <v>8</v>
      </c>
      <c r="L64" s="121">
        <v>4.6980299949645996</v>
      </c>
      <c r="M64" s="123">
        <v>43</v>
      </c>
      <c r="N64" s="56"/>
      <c r="O64" s="121">
        <v>4.6499999999999986</v>
      </c>
      <c r="P64" s="121">
        <v>5.5</v>
      </c>
      <c r="Q64" s="127">
        <v>9</v>
      </c>
      <c r="R64" s="56"/>
      <c r="S64" s="129">
        <v>52</v>
      </c>
    </row>
    <row r="65" spans="1:20" s="117" customFormat="1" ht="20.100000000000001" customHeight="1" thickBot="1" x14ac:dyDescent="0.3">
      <c r="A65" s="118" t="s">
        <v>62</v>
      </c>
      <c r="B65" s="56"/>
      <c r="C65" s="124">
        <f>SUM(C7:C64)</f>
        <v>977.74412894248962</v>
      </c>
      <c r="D65" s="124">
        <f t="shared" ref="D65:Q65" si="0">SUM(D7:D64)</f>
        <v>5033.7557226419449</v>
      </c>
      <c r="E65" s="124">
        <f t="shared" si="0"/>
        <v>3384.5128911063075</v>
      </c>
      <c r="F65" s="124">
        <f t="shared" si="0"/>
        <v>2855.9935985542834</v>
      </c>
      <c r="G65" s="124">
        <f t="shared" si="0"/>
        <v>1287.2469678968191</v>
      </c>
      <c r="H65" s="124">
        <f t="shared" ref="H65" si="1">SUM(H7:H64)</f>
        <v>858.73473290354013</v>
      </c>
      <c r="I65" s="124">
        <f t="shared" si="0"/>
        <v>14397.988009095192</v>
      </c>
      <c r="J65" s="124">
        <f t="shared" ref="J65" si="2">SUM(J7:J64)</f>
        <v>702.98750000000007</v>
      </c>
      <c r="K65" s="115"/>
      <c r="L65" s="125">
        <f>SUM(L7:L64)</f>
        <v>1518.4158212989569</v>
      </c>
      <c r="M65" s="126">
        <f>SUM(M7:M64)</f>
        <v>15943</v>
      </c>
      <c r="N65" s="56"/>
      <c r="O65" s="124">
        <f t="shared" si="0"/>
        <v>1728.9375</v>
      </c>
      <c r="P65" s="115"/>
      <c r="Q65" s="126">
        <f t="shared" si="0"/>
        <v>2631</v>
      </c>
      <c r="R65" s="56"/>
      <c r="S65" s="128">
        <f>SUM(S7:S64)</f>
        <v>18574</v>
      </c>
      <c r="T65" s="106"/>
    </row>
    <row r="66" spans="1:20" s="117" customFormat="1" ht="20.100000000000001" customHeight="1" thickTop="1" x14ac:dyDescent="0.25">
      <c r="A66" s="105"/>
      <c r="B66" s="56"/>
      <c r="C66" s="105"/>
      <c r="D66" s="105"/>
      <c r="E66" s="105"/>
      <c r="F66" s="105"/>
      <c r="G66" s="105"/>
      <c r="H66" s="105"/>
      <c r="I66" s="105"/>
      <c r="J66" s="105"/>
      <c r="K66" s="115"/>
      <c r="L66" s="105"/>
      <c r="M66" s="105"/>
      <c r="N66" s="56"/>
      <c r="O66" s="105"/>
      <c r="P66" s="115"/>
      <c r="Q66" s="105"/>
      <c r="R66" s="56"/>
      <c r="S66" s="116"/>
      <c r="T66" s="106"/>
    </row>
    <row r="67" spans="1:20" s="117" customFormat="1" ht="21.6" customHeight="1" x14ac:dyDescent="0.25">
      <c r="A67" s="261"/>
      <c r="B67" s="56"/>
      <c r="C67" s="113" t="s">
        <v>217</v>
      </c>
      <c r="E67" s="260"/>
      <c r="F67" s="260"/>
      <c r="G67" s="260"/>
      <c r="H67" s="260"/>
      <c r="I67" s="260"/>
      <c r="J67" s="260"/>
      <c r="K67" s="260"/>
      <c r="L67" s="260"/>
      <c r="M67" s="260"/>
      <c r="N67" s="260"/>
      <c r="O67" s="260"/>
      <c r="P67" s="260"/>
      <c r="Q67" s="260"/>
      <c r="R67" s="260"/>
      <c r="S67" s="260"/>
      <c r="T67" s="106"/>
    </row>
    <row r="68" spans="1:20" ht="21.6" customHeight="1" x14ac:dyDescent="0.25">
      <c r="A68" s="264"/>
      <c r="B68" s="56"/>
      <c r="C68" s="113" t="s">
        <v>228</v>
      </c>
      <c r="D68" s="260"/>
      <c r="E68" s="260"/>
      <c r="F68" s="260"/>
      <c r="G68" s="260"/>
      <c r="H68" s="260"/>
      <c r="I68" s="260"/>
      <c r="J68" s="260"/>
      <c r="K68" s="260"/>
      <c r="L68" s="260"/>
      <c r="M68" s="260"/>
      <c r="N68" s="260"/>
      <c r="O68" s="260"/>
      <c r="P68" s="260"/>
      <c r="Q68" s="260"/>
      <c r="R68" s="56"/>
    </row>
    <row r="69" spans="1:20" x14ac:dyDescent="0.25">
      <c r="B69" s="56"/>
      <c r="N69" s="56"/>
      <c r="R69" s="56"/>
    </row>
    <row r="70" spans="1:20" x14ac:dyDescent="0.25">
      <c r="B70" s="56"/>
      <c r="N70" s="56"/>
      <c r="R70" s="56"/>
    </row>
  </sheetData>
  <mergeCells count="3">
    <mergeCell ref="C4:M4"/>
    <mergeCell ref="O4:Q4"/>
    <mergeCell ref="A5:A6"/>
  </mergeCells>
  <printOptions horizontalCentered="1"/>
  <pageMargins left="0.25" right="0.25" top="0.5" bottom="0.25" header="0.3" footer="0.3"/>
  <pageSetup scale="53" orientation="portrait" r:id="rId1"/>
  <headerFooter>
    <oddHeader xml:space="preserve">&amp;R&amp;"-,Bold"&amp;14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H73"/>
  <sheetViews>
    <sheetView zoomScaleNormal="100" zoomScaleSheetLayoutView="100" workbookViewId="0">
      <pane xSplit="2" ySplit="5" topLeftCell="C56" activePane="bottomRight" state="frozen"/>
      <selection pane="topRight" activeCell="C1" sqref="C1"/>
      <selection pane="bottomLeft" activeCell="A6" sqref="A6"/>
      <selection pane="bottomRight" activeCell="A69" sqref="A69:H69"/>
    </sheetView>
  </sheetViews>
  <sheetFormatPr defaultColWidth="9.28515625" defaultRowHeight="15" x14ac:dyDescent="0.25"/>
  <cols>
    <col min="1" max="1" width="17.7109375" style="130" customWidth="1"/>
    <col min="2" max="2" width="1.7109375" style="65" customWidth="1"/>
    <col min="3" max="4" width="15.7109375" style="130" customWidth="1"/>
    <col min="5" max="5" width="1.7109375" style="65" customWidth="1"/>
    <col min="6" max="6" width="15.7109375" style="130" customWidth="1"/>
    <col min="7" max="7" width="11.42578125" style="130" bestFit="1" customWidth="1"/>
    <col min="8" max="16384" width="9.28515625" style="130"/>
  </cols>
  <sheetData>
    <row r="1" spans="1:7" ht="20.100000000000001" customHeight="1" x14ac:dyDescent="0.25">
      <c r="A1" s="145" t="s">
        <v>174</v>
      </c>
      <c r="B1" s="105"/>
      <c r="E1" s="105"/>
    </row>
    <row r="2" spans="1:7" ht="18.600000000000001" customHeight="1" x14ac:dyDescent="0.25">
      <c r="A2" s="51"/>
      <c r="B2" s="54"/>
      <c r="C2" s="136"/>
      <c r="D2" s="136"/>
      <c r="E2" s="54"/>
      <c r="F2" s="136"/>
    </row>
    <row r="3" spans="1:7" ht="18.600000000000001" customHeight="1" x14ac:dyDescent="0.25">
      <c r="A3" s="131"/>
      <c r="B3" s="54"/>
      <c r="E3" s="54"/>
    </row>
    <row r="4" spans="1:7" ht="45" x14ac:dyDescent="0.25">
      <c r="A4" s="322" t="s">
        <v>63</v>
      </c>
      <c r="B4" s="86"/>
      <c r="C4" s="132" t="s">
        <v>177</v>
      </c>
      <c r="D4" s="151" t="s">
        <v>176</v>
      </c>
      <c r="E4" s="86"/>
      <c r="F4" s="79" t="s">
        <v>172</v>
      </c>
    </row>
    <row r="5" spans="1:7" x14ac:dyDescent="0.25">
      <c r="A5" s="323"/>
      <c r="B5" s="86"/>
      <c r="C5" s="83" t="s">
        <v>65</v>
      </c>
      <c r="D5" s="83" t="s">
        <v>1</v>
      </c>
      <c r="E5" s="86"/>
      <c r="F5" s="83" t="s">
        <v>66</v>
      </c>
    </row>
    <row r="6" spans="1:7" ht="18.600000000000001" customHeight="1" x14ac:dyDescent="0.25">
      <c r="A6" s="133" t="s">
        <v>53</v>
      </c>
      <c r="B6" s="86"/>
      <c r="C6" s="146">
        <f>'Program 10'!C7+'Program 90'!C7</f>
        <v>53073224.356020018</v>
      </c>
      <c r="D6" s="134">
        <f>'Program 10'!B7+'Program 90'!B7</f>
        <v>612.90000000000009</v>
      </c>
      <c r="E6" s="86"/>
      <c r="F6" s="147">
        <f>C6/D6</f>
        <v>86593.61128409204</v>
      </c>
      <c r="G6" s="135"/>
    </row>
    <row r="7" spans="1:7" ht="18.600000000000001" customHeight="1" x14ac:dyDescent="0.25">
      <c r="A7" s="133" t="s">
        <v>4</v>
      </c>
      <c r="B7" s="87"/>
      <c r="C7" s="146">
        <f>'Program 10'!C8+'Program 90'!C8</f>
        <v>159214.63999999998</v>
      </c>
      <c r="D7" s="134">
        <f>'Program 10'!B8+'Program 90'!B8</f>
        <v>2.5</v>
      </c>
      <c r="E7" s="87"/>
      <c r="F7" s="147">
        <f t="shared" ref="F7:F63" si="0">C7/D7</f>
        <v>63685.855999999992</v>
      </c>
      <c r="G7" s="135"/>
    </row>
    <row r="8" spans="1:7" ht="18.600000000000001" customHeight="1" x14ac:dyDescent="0.25">
      <c r="A8" s="133" t="s">
        <v>5</v>
      </c>
      <c r="B8" s="86"/>
      <c r="C8" s="146">
        <f>'Program 10'!C9+'Program 90'!C9</f>
        <v>1391472.6</v>
      </c>
      <c r="D8" s="134">
        <f>'Program 10'!B9+'Program 90'!B9</f>
        <v>22.21</v>
      </c>
      <c r="E8" s="86"/>
      <c r="F8" s="147">
        <f t="shared" si="0"/>
        <v>62650.724898694287</v>
      </c>
      <c r="G8" s="135"/>
    </row>
    <row r="9" spans="1:7" ht="18.600000000000001" customHeight="1" x14ac:dyDescent="0.25">
      <c r="A9" s="133" t="s">
        <v>19</v>
      </c>
      <c r="B9" s="56"/>
      <c r="C9" s="146">
        <f>'Program 10'!C10+'Program 90'!C10</f>
        <v>5755370.9499999993</v>
      </c>
      <c r="D9" s="134">
        <f>'Program 10'!B10+'Program 90'!B10</f>
        <v>103.58</v>
      </c>
      <c r="E9" s="56"/>
      <c r="F9" s="147">
        <f t="shared" si="0"/>
        <v>55564.500386174928</v>
      </c>
      <c r="G9" s="135"/>
    </row>
    <row r="10" spans="1:7" ht="18.600000000000001" customHeight="1" x14ac:dyDescent="0.25">
      <c r="A10" s="133" t="s">
        <v>6</v>
      </c>
      <c r="B10" s="56"/>
      <c r="C10" s="146">
        <f>'Program 10'!C11+'Program 90'!C11</f>
        <v>1470720.7649999999</v>
      </c>
      <c r="D10" s="134">
        <f>'Program 10'!B11+'Program 90'!B11</f>
        <v>22.049999999999994</v>
      </c>
      <c r="E10" s="56"/>
      <c r="F10" s="147">
        <f t="shared" si="0"/>
        <v>66699.354421768716</v>
      </c>
      <c r="G10" s="135"/>
    </row>
    <row r="11" spans="1:7" ht="18.600000000000001" customHeight="1" x14ac:dyDescent="0.25">
      <c r="A11" s="133" t="s">
        <v>7</v>
      </c>
      <c r="B11" s="56"/>
      <c r="C11" s="146">
        <f>'Program 10'!C12+'Program 90'!C12</f>
        <v>559364.69999999995</v>
      </c>
      <c r="D11" s="134">
        <f>'Program 10'!B12+'Program 90'!B12</f>
        <v>11.7</v>
      </c>
      <c r="E11" s="56"/>
      <c r="F11" s="147">
        <f t="shared" si="0"/>
        <v>47808.948717948719</v>
      </c>
      <c r="G11" s="135"/>
    </row>
    <row r="12" spans="1:7" ht="18.600000000000001" customHeight="1" x14ac:dyDescent="0.25">
      <c r="A12" s="133" t="s">
        <v>41</v>
      </c>
      <c r="B12" s="88"/>
      <c r="C12" s="146">
        <f>'Program 10'!C13+'Program 90'!C13</f>
        <v>23769164.105000004</v>
      </c>
      <c r="D12" s="134">
        <f>'Program 10'!B13+'Program 90'!B13</f>
        <v>299.51499999999999</v>
      </c>
      <c r="E12" s="88"/>
      <c r="F12" s="147">
        <f t="shared" si="0"/>
        <v>79358.843814166248</v>
      </c>
      <c r="G12" s="135"/>
    </row>
    <row r="13" spans="1:7" ht="18.600000000000001" customHeight="1" x14ac:dyDescent="0.25">
      <c r="A13" s="133" t="s">
        <v>8</v>
      </c>
      <c r="B13" s="56"/>
      <c r="C13" s="146">
        <f>'Program 10'!C14+'Program 90'!C14</f>
        <v>1263201.9407233968</v>
      </c>
      <c r="D13" s="134">
        <f>'Program 10'!B14+'Program 90'!B14</f>
        <v>20.375</v>
      </c>
      <c r="E13" s="56"/>
      <c r="F13" s="147">
        <f t="shared" si="0"/>
        <v>61997.641262498008</v>
      </c>
      <c r="G13" s="135"/>
    </row>
    <row r="14" spans="1:7" ht="18.600000000000001" customHeight="1" x14ac:dyDescent="0.25">
      <c r="A14" s="133" t="s">
        <v>20</v>
      </c>
      <c r="B14" s="56"/>
      <c r="C14" s="146">
        <f>'Program 10'!C15+'Program 90'!C15</f>
        <v>4311699.6254857127</v>
      </c>
      <c r="D14" s="134">
        <f>'Program 10'!B15+'Program 90'!B15</f>
        <v>67.760000000000005</v>
      </c>
      <c r="E14" s="56"/>
      <c r="F14" s="147">
        <f t="shared" si="0"/>
        <v>63631.930718502248</v>
      </c>
      <c r="G14" s="135"/>
    </row>
    <row r="15" spans="1:7" ht="18.600000000000001" customHeight="1" x14ac:dyDescent="0.25">
      <c r="A15" s="133" t="s">
        <v>42</v>
      </c>
      <c r="B15" s="56"/>
      <c r="C15" s="146">
        <f>'Program 10'!C16+'Program 90'!C16</f>
        <v>29513633.649999999</v>
      </c>
      <c r="D15" s="134">
        <f>'Program 10'!B16+'Program 90'!B16</f>
        <v>472.19999999999993</v>
      </c>
      <c r="E15" s="56"/>
      <c r="F15" s="147">
        <f t="shared" si="0"/>
        <v>62502.400783566292</v>
      </c>
      <c r="G15" s="135"/>
    </row>
    <row r="16" spans="1:7" ht="18.600000000000001" customHeight="1" x14ac:dyDescent="0.25">
      <c r="A16" s="133" t="s">
        <v>9</v>
      </c>
      <c r="B16" s="56"/>
      <c r="C16" s="146">
        <f>'Program 10'!C17+'Program 90'!C17</f>
        <v>911861.32160000014</v>
      </c>
      <c r="D16" s="134">
        <f>'Program 10'!B17+'Program 90'!B17</f>
        <v>16.649999999999999</v>
      </c>
      <c r="E16" s="56"/>
      <c r="F16" s="147">
        <f t="shared" si="0"/>
        <v>54766.445741741758</v>
      </c>
      <c r="G16" s="135"/>
    </row>
    <row r="17" spans="1:7" ht="18.600000000000001" customHeight="1" x14ac:dyDescent="0.25">
      <c r="A17" s="133" t="s">
        <v>21</v>
      </c>
      <c r="B17" s="56"/>
      <c r="C17" s="146">
        <f>'Program 10'!C18+'Program 90'!C18</f>
        <v>4149629.9492800012</v>
      </c>
      <c r="D17" s="134">
        <f>'Program 10'!B18+'Program 90'!B18</f>
        <v>74.400000000000006</v>
      </c>
      <c r="E17" s="56"/>
      <c r="F17" s="147">
        <f t="shared" si="0"/>
        <v>55774.596092473133</v>
      </c>
      <c r="G17" s="135"/>
    </row>
    <row r="18" spans="1:7" ht="18.600000000000001" customHeight="1" x14ac:dyDescent="0.25">
      <c r="A18" s="133" t="s">
        <v>22</v>
      </c>
      <c r="B18" s="88"/>
      <c r="C18" s="146">
        <f>'Program 10'!C19+'Program 90'!C19</f>
        <v>5224867.2197506223</v>
      </c>
      <c r="D18" s="134">
        <f>'Program 10'!B19+'Program 90'!B19</f>
        <v>99.45</v>
      </c>
      <c r="E18" s="88"/>
      <c r="F18" s="147">
        <f t="shared" si="0"/>
        <v>52537.629157874529</v>
      </c>
      <c r="G18" s="135"/>
    </row>
    <row r="19" spans="1:7" ht="18.600000000000001" customHeight="1" x14ac:dyDescent="0.25">
      <c r="A19" s="133" t="s">
        <v>10</v>
      </c>
      <c r="B19" s="56"/>
      <c r="C19" s="146">
        <f>'Program 10'!C20+'Program 90'!C20</f>
        <v>916074.42960800009</v>
      </c>
      <c r="D19" s="134">
        <f>'Program 10'!B20+'Program 90'!B20</f>
        <v>12.969999999999992</v>
      </c>
      <c r="E19" s="56"/>
      <c r="F19" s="147">
        <f t="shared" si="0"/>
        <v>70630.256716114163</v>
      </c>
      <c r="G19" s="135"/>
    </row>
    <row r="20" spans="1:7" ht="18.600000000000001" customHeight="1" x14ac:dyDescent="0.25">
      <c r="A20" s="133" t="s">
        <v>43</v>
      </c>
      <c r="B20" s="56"/>
      <c r="C20" s="146">
        <f>'Program 10'!C21+'Program 90'!C21</f>
        <v>28411347.015050683</v>
      </c>
      <c r="D20" s="134">
        <f>'Program 10'!B21+'Program 90'!B21</f>
        <v>465</v>
      </c>
      <c r="E20" s="56"/>
      <c r="F20" s="147">
        <f t="shared" si="0"/>
        <v>61099.671000108996</v>
      </c>
      <c r="G20" s="135"/>
    </row>
    <row r="21" spans="1:7" ht="18.600000000000001" customHeight="1" x14ac:dyDescent="0.25">
      <c r="A21" s="133" t="s">
        <v>23</v>
      </c>
      <c r="B21" s="56"/>
      <c r="C21" s="146">
        <f>'Program 10'!C22+'Program 90'!C22</f>
        <v>4446961.1599999983</v>
      </c>
      <c r="D21" s="134">
        <f>'Program 10'!B22+'Program 90'!B22</f>
        <v>85</v>
      </c>
      <c r="E21" s="56"/>
      <c r="F21" s="147">
        <f t="shared" si="0"/>
        <v>52317.190117647042</v>
      </c>
      <c r="G21" s="135"/>
    </row>
    <row r="22" spans="1:7" ht="18.600000000000001" customHeight="1" x14ac:dyDescent="0.25">
      <c r="A22" s="133" t="s">
        <v>24</v>
      </c>
      <c r="B22" s="56"/>
      <c r="C22" s="146">
        <f>'Program 10'!C23+'Program 90'!C23</f>
        <v>1725299.65</v>
      </c>
      <c r="D22" s="134">
        <f>'Program 10'!B23+'Program 90'!B23</f>
        <v>30.2</v>
      </c>
      <c r="E22" s="56"/>
      <c r="F22" s="147">
        <f t="shared" si="0"/>
        <v>57129.127483443706</v>
      </c>
      <c r="G22" s="135"/>
    </row>
    <row r="23" spans="1:7" ht="18.600000000000001" customHeight="1" x14ac:dyDescent="0.25">
      <c r="A23" s="133" t="s">
        <v>11</v>
      </c>
      <c r="B23" s="56"/>
      <c r="C23" s="146">
        <f>'Program 10'!C24+'Program 90'!C24</f>
        <v>1125588.0775000001</v>
      </c>
      <c r="D23" s="134">
        <f>'Program 10'!B24+'Program 90'!B24</f>
        <v>18</v>
      </c>
      <c r="E23" s="56"/>
      <c r="F23" s="147">
        <f t="shared" si="0"/>
        <v>62532.670972222229</v>
      </c>
      <c r="G23" s="135"/>
    </row>
    <row r="24" spans="1:7" ht="18.600000000000001" customHeight="1" x14ac:dyDescent="0.25">
      <c r="A24" s="133" t="s">
        <v>54</v>
      </c>
      <c r="B24" s="56"/>
      <c r="C24" s="146">
        <f>'Program 10'!C25+'Program 90'!C25</f>
        <v>309536376.17999971</v>
      </c>
      <c r="D24" s="134">
        <f>'Program 10'!B25+'Program 90'!B25</f>
        <v>4010.25</v>
      </c>
      <c r="E24" s="56"/>
      <c r="F24" s="147">
        <f t="shared" si="0"/>
        <v>77186.304140639535</v>
      </c>
      <c r="G24" s="135"/>
    </row>
    <row r="25" spans="1:7" ht="18.600000000000001" customHeight="1" x14ac:dyDescent="0.25">
      <c r="A25" s="133" t="s">
        <v>25</v>
      </c>
      <c r="B25" s="56"/>
      <c r="C25" s="146">
        <f>'Program 10'!C26+'Program 90'!C26</f>
        <v>5348231</v>
      </c>
      <c r="D25" s="134">
        <f>'Program 10'!B26+'Program 90'!B26</f>
        <v>95</v>
      </c>
      <c r="E25" s="56"/>
      <c r="F25" s="147">
        <f t="shared" si="0"/>
        <v>56297.168421052629</v>
      </c>
      <c r="G25" s="135"/>
    </row>
    <row r="26" spans="1:7" ht="18.600000000000001" customHeight="1" x14ac:dyDescent="0.25">
      <c r="A26" s="133" t="s">
        <v>26</v>
      </c>
      <c r="B26" s="56"/>
      <c r="C26" s="146">
        <f>'Program 10'!C27+'Program 90'!C27</f>
        <v>7458927.7840000018</v>
      </c>
      <c r="D26" s="134">
        <f>'Program 10'!B27+'Program 90'!B27</f>
        <v>94.9</v>
      </c>
      <c r="E26" s="56"/>
      <c r="F26" s="147">
        <f t="shared" si="0"/>
        <v>78597.763793466816</v>
      </c>
      <c r="G26" s="135"/>
    </row>
    <row r="27" spans="1:7" ht="18.600000000000001" customHeight="1" x14ac:dyDescent="0.25">
      <c r="A27" s="133" t="s">
        <v>12</v>
      </c>
      <c r="B27" s="56"/>
      <c r="C27" s="146">
        <f>'Program 10'!C28+'Program 90'!C28</f>
        <v>587138.62600000005</v>
      </c>
      <c r="D27" s="134">
        <f>'Program 10'!B28+'Program 90'!B28</f>
        <v>10.6</v>
      </c>
      <c r="E27" s="56"/>
      <c r="F27" s="147">
        <f t="shared" si="0"/>
        <v>55390.436415094344</v>
      </c>
      <c r="G27" s="135"/>
    </row>
    <row r="28" spans="1:7" ht="18.600000000000001" customHeight="1" x14ac:dyDescent="0.25">
      <c r="A28" s="133" t="s">
        <v>27</v>
      </c>
      <c r="B28" s="56"/>
      <c r="C28" s="146">
        <f>'Program 10'!C29+'Program 90'!C29</f>
        <v>3781588.76</v>
      </c>
      <c r="D28" s="134">
        <f>'Program 10'!B29+'Program 90'!B29</f>
        <v>54.820999999999998</v>
      </c>
      <c r="E28" s="56"/>
      <c r="F28" s="147">
        <f t="shared" si="0"/>
        <v>68980.659966071398</v>
      </c>
      <c r="G28" s="135"/>
    </row>
    <row r="29" spans="1:7" ht="18.600000000000001" customHeight="1" x14ac:dyDescent="0.25">
      <c r="A29" s="133" t="s">
        <v>28</v>
      </c>
      <c r="B29" s="56"/>
      <c r="C29" s="146">
        <f>'Program 10'!C30+'Program 90'!C30</f>
        <v>7490491.4000000004</v>
      </c>
      <c r="D29" s="134">
        <f>'Program 10'!B30+'Program 90'!B30</f>
        <v>131.5</v>
      </c>
      <c r="E29" s="56"/>
      <c r="F29" s="147">
        <f t="shared" si="0"/>
        <v>56961.911787072248</v>
      </c>
      <c r="G29" s="135"/>
    </row>
    <row r="30" spans="1:7" ht="18.600000000000001" customHeight="1" x14ac:dyDescent="0.25">
      <c r="A30" s="133" t="s">
        <v>13</v>
      </c>
      <c r="B30" s="56"/>
      <c r="C30" s="146">
        <f>'Program 10'!C31+'Program 90'!C31</f>
        <v>543749.83000000007</v>
      </c>
      <c r="D30" s="134">
        <f>'Program 10'!B31+'Program 90'!B31</f>
        <v>10</v>
      </c>
      <c r="E30" s="56"/>
      <c r="F30" s="147">
        <f t="shared" si="0"/>
        <v>54374.983000000007</v>
      </c>
      <c r="G30" s="135"/>
    </row>
    <row r="31" spans="1:7" ht="18.600000000000001" customHeight="1" x14ac:dyDescent="0.25">
      <c r="A31" s="133" t="s">
        <v>14</v>
      </c>
      <c r="B31" s="56"/>
      <c r="C31" s="146">
        <f>'Program 10'!C32+'Program 90'!C32</f>
        <v>763446.16200000001</v>
      </c>
      <c r="D31" s="134">
        <f>'Program 10'!B32+'Program 90'!B32</f>
        <v>12.228</v>
      </c>
      <c r="E31" s="56"/>
      <c r="F31" s="147">
        <f t="shared" si="0"/>
        <v>62434.262512266927</v>
      </c>
      <c r="G31" s="135"/>
    </row>
    <row r="32" spans="1:7" ht="18.600000000000001" customHeight="1" x14ac:dyDescent="0.25">
      <c r="A32" s="133" t="s">
        <v>44</v>
      </c>
      <c r="B32" s="56"/>
      <c r="C32" s="146">
        <f>'Program 10'!C33+'Program 90'!C33</f>
        <v>12953062.720000001</v>
      </c>
      <c r="D32" s="134">
        <f>'Program 10'!B33+'Program 90'!B33</f>
        <v>180.60000000000002</v>
      </c>
      <c r="E32" s="56"/>
      <c r="F32" s="147">
        <f t="shared" si="0"/>
        <v>71722.384939091906</v>
      </c>
      <c r="G32" s="135"/>
    </row>
    <row r="33" spans="1:7" ht="18.600000000000001" customHeight="1" x14ac:dyDescent="0.25">
      <c r="A33" s="133" t="s">
        <v>29</v>
      </c>
      <c r="B33" s="56"/>
      <c r="C33" s="146">
        <f>'Program 10'!C34+'Program 90'!C34</f>
        <v>4210453.0999999996</v>
      </c>
      <c r="D33" s="134">
        <f>'Program 10'!B34+'Program 90'!B34</f>
        <v>55.9</v>
      </c>
      <c r="E33" s="56"/>
      <c r="F33" s="147">
        <f t="shared" si="0"/>
        <v>75321.16457960644</v>
      </c>
      <c r="G33" s="135"/>
    </row>
    <row r="34" spans="1:7" ht="18.600000000000001" customHeight="1" x14ac:dyDescent="0.25">
      <c r="A34" s="133" t="s">
        <v>30</v>
      </c>
      <c r="B34" s="56"/>
      <c r="C34" s="146">
        <f>'Program 10'!C35+'Program 90'!C35</f>
        <v>2646730.8475730876</v>
      </c>
      <c r="D34" s="134">
        <f>'Program 10'!B35+'Program 90'!B35</f>
        <v>42.499999999999993</v>
      </c>
      <c r="E34" s="56"/>
      <c r="F34" s="147">
        <f t="shared" si="0"/>
        <v>62276.019942896186</v>
      </c>
      <c r="G34" s="135"/>
    </row>
    <row r="35" spans="1:7" ht="18.600000000000001" customHeight="1" x14ac:dyDescent="0.25">
      <c r="A35" s="133" t="s">
        <v>55</v>
      </c>
      <c r="B35" s="56"/>
      <c r="C35" s="146">
        <f>'Program 10'!C36+'Program 90'!C36</f>
        <v>94081935.475000009</v>
      </c>
      <c r="D35" s="134">
        <f>'Program 10'!B36+'Program 90'!B36</f>
        <v>1207.9375</v>
      </c>
      <c r="E35" s="56"/>
      <c r="F35" s="147">
        <f t="shared" si="0"/>
        <v>77886.42663631191</v>
      </c>
      <c r="G35" s="135"/>
    </row>
    <row r="36" spans="1:7" ht="18.600000000000001" customHeight="1" x14ac:dyDescent="0.25">
      <c r="A36" s="133" t="s">
        <v>31</v>
      </c>
      <c r="B36" s="56"/>
      <c r="C36" s="146">
        <f>'Program 10'!C37+'Program 90'!C37</f>
        <v>9612314.0796000026</v>
      </c>
      <c r="D36" s="134">
        <f>'Program 10'!B37+'Program 90'!B37</f>
        <v>125.85</v>
      </c>
      <c r="E36" s="56"/>
      <c r="F36" s="147">
        <f t="shared" si="0"/>
        <v>76379.134522050081</v>
      </c>
      <c r="G36" s="135"/>
    </row>
    <row r="37" spans="1:7" ht="18.600000000000001" customHeight="1" x14ac:dyDescent="0.25">
      <c r="A37" s="133" t="s">
        <v>15</v>
      </c>
      <c r="B37" s="56"/>
      <c r="C37" s="146">
        <f>'Program 10'!C38+'Program 90'!C38</f>
        <v>433787.63199999987</v>
      </c>
      <c r="D37" s="134">
        <f>'Program 10'!B38+'Program 90'!B38</f>
        <v>9</v>
      </c>
      <c r="E37" s="56"/>
      <c r="F37" s="147">
        <f t="shared" si="0"/>
        <v>48198.625777777765</v>
      </c>
      <c r="G37" s="135"/>
    </row>
    <row r="38" spans="1:7" ht="18.600000000000001" customHeight="1" x14ac:dyDescent="0.25">
      <c r="A38" s="133" t="s">
        <v>56</v>
      </c>
      <c r="B38" s="56"/>
      <c r="C38" s="146">
        <f>'Program 10'!C39+'Program 90'!C39</f>
        <v>71638495.239992484</v>
      </c>
      <c r="D38" s="134">
        <f>'Program 10'!B39+'Program 90'!B39</f>
        <v>955.3</v>
      </c>
      <c r="E38" s="56"/>
      <c r="F38" s="147">
        <f t="shared" si="0"/>
        <v>74990.573893010034</v>
      </c>
      <c r="G38" s="135"/>
    </row>
    <row r="39" spans="1:7" ht="18.600000000000001" customHeight="1" x14ac:dyDescent="0.25">
      <c r="A39" s="133" t="s">
        <v>57</v>
      </c>
      <c r="B39" s="56"/>
      <c r="C39" s="146">
        <f>'Program 10'!C40+'Program 90'!C40</f>
        <v>52065669.087472074</v>
      </c>
      <c r="D39" s="134">
        <f>'Program 10'!B40+'Program 90'!B40</f>
        <v>655.11</v>
      </c>
      <c r="E39" s="56"/>
      <c r="F39" s="147">
        <f t="shared" si="0"/>
        <v>79476.223973793822</v>
      </c>
      <c r="G39" s="135"/>
    </row>
    <row r="40" spans="1:7" ht="18.600000000000001" customHeight="1" x14ac:dyDescent="0.25">
      <c r="A40" s="133" t="s">
        <v>16</v>
      </c>
      <c r="B40" s="56"/>
      <c r="C40" s="146">
        <f>'Program 10'!C41+'Program 90'!C41</f>
        <v>1591821.5999999996</v>
      </c>
      <c r="D40" s="134">
        <f>'Program 10'!B41+'Program 90'!B41</f>
        <v>24.4</v>
      </c>
      <c r="E40" s="56"/>
      <c r="F40" s="147">
        <f t="shared" si="0"/>
        <v>65238.590163934416</v>
      </c>
      <c r="G40" s="135"/>
    </row>
    <row r="41" spans="1:7" ht="18.600000000000001" customHeight="1" x14ac:dyDescent="0.25">
      <c r="A41" s="133" t="s">
        <v>58</v>
      </c>
      <c r="B41" s="56"/>
      <c r="C41" s="146">
        <f>'Program 10'!C42+'Program 90'!C42</f>
        <v>68394321.09857145</v>
      </c>
      <c r="D41" s="134">
        <f>'Program 10'!B42+'Program 90'!B42</f>
        <v>962.65000000000009</v>
      </c>
      <c r="E41" s="56"/>
      <c r="F41" s="147">
        <f t="shared" si="0"/>
        <v>71047.962497866771</v>
      </c>
      <c r="G41" s="135"/>
    </row>
    <row r="42" spans="1:7" ht="18.600000000000001" customHeight="1" x14ac:dyDescent="0.25">
      <c r="A42" s="133" t="s">
        <v>59</v>
      </c>
      <c r="B42" s="56"/>
      <c r="C42" s="146">
        <f>'Program 10'!C43+'Program 90'!C43</f>
        <v>72775968.662721619</v>
      </c>
      <c r="D42" s="134">
        <f>'Program 10'!B43+'Program 90'!B43</f>
        <v>1062.9699999999998</v>
      </c>
      <c r="E42" s="56"/>
      <c r="F42" s="147">
        <f t="shared" si="0"/>
        <v>68464.743748856155</v>
      </c>
      <c r="G42" s="135"/>
    </row>
    <row r="43" spans="1:7" ht="18.600000000000001" customHeight="1" x14ac:dyDescent="0.25">
      <c r="A43" s="133" t="s">
        <v>60</v>
      </c>
      <c r="B43" s="56"/>
      <c r="C43" s="146">
        <f>'Program 10'!C44+'Program 90'!C44</f>
        <v>33943069.489999995</v>
      </c>
      <c r="D43" s="134">
        <f>'Program 10'!B44+'Program 90'!B44</f>
        <v>350</v>
      </c>
      <c r="E43" s="56"/>
      <c r="F43" s="147">
        <f t="shared" si="0"/>
        <v>96980.198542857121</v>
      </c>
      <c r="G43" s="135"/>
    </row>
    <row r="44" spans="1:7" ht="18.600000000000001" customHeight="1" x14ac:dyDescent="0.25">
      <c r="A44" s="133" t="s">
        <v>45</v>
      </c>
      <c r="B44" s="56"/>
      <c r="C44" s="146">
        <f>'Program 10'!C45+'Program 90'!C45</f>
        <v>21643842.416499995</v>
      </c>
      <c r="D44" s="134">
        <f>'Program 10'!B45+'Program 90'!B45</f>
        <v>316.55</v>
      </c>
      <c r="E44" s="56"/>
      <c r="F44" s="147">
        <f t="shared" si="0"/>
        <v>68374.166534512697</v>
      </c>
      <c r="G44" s="135"/>
    </row>
    <row r="45" spans="1:7" ht="18.600000000000001" customHeight="1" x14ac:dyDescent="0.25">
      <c r="A45" s="133" t="s">
        <v>32</v>
      </c>
      <c r="B45" s="56"/>
      <c r="C45" s="146">
        <f>'Program 10'!C46+'Program 90'!C46</f>
        <v>8646071.75</v>
      </c>
      <c r="D45" s="134">
        <f>'Program 10'!B46+'Program 90'!B46</f>
        <v>116.75</v>
      </c>
      <c r="E45" s="56"/>
      <c r="F45" s="147">
        <f t="shared" si="0"/>
        <v>74056.289079229129</v>
      </c>
      <c r="G45" s="135"/>
    </row>
    <row r="46" spans="1:7" ht="18.600000000000001" customHeight="1" x14ac:dyDescent="0.25">
      <c r="A46" s="133" t="s">
        <v>46</v>
      </c>
      <c r="B46" s="56"/>
      <c r="C46" s="146">
        <f>'Program 10'!C47+'Program 90'!C47</f>
        <v>21901849.82285713</v>
      </c>
      <c r="D46" s="134">
        <f>'Program 10'!B47+'Program 90'!B47</f>
        <v>257.75</v>
      </c>
      <c r="E46" s="56"/>
      <c r="F46" s="147">
        <f t="shared" si="0"/>
        <v>84973.229186642595</v>
      </c>
      <c r="G46" s="135"/>
    </row>
    <row r="47" spans="1:7" ht="18.600000000000001" customHeight="1" x14ac:dyDescent="0.25">
      <c r="A47" s="133" t="s">
        <v>47</v>
      </c>
      <c r="B47" s="56"/>
      <c r="C47" s="146">
        <f>'Program 10'!C48+'Program 90'!C48</f>
        <v>14410784.096579997</v>
      </c>
      <c r="D47" s="134">
        <f>'Program 10'!B48+'Program 90'!B48</f>
        <v>200.125</v>
      </c>
      <c r="E47" s="56"/>
      <c r="F47" s="147">
        <f t="shared" si="0"/>
        <v>72008.914911080559</v>
      </c>
      <c r="G47" s="135"/>
    </row>
    <row r="48" spans="1:7" ht="18.600000000000001" customHeight="1" x14ac:dyDescent="0.25">
      <c r="A48" s="133" t="s">
        <v>61</v>
      </c>
      <c r="B48" s="56"/>
      <c r="C48" s="146">
        <f>'Program 10'!C49+'Program 90'!C49</f>
        <v>46977049.487696208</v>
      </c>
      <c r="D48" s="134">
        <f>'Program 10'!B49+'Program 90'!B49</f>
        <v>540.79</v>
      </c>
      <c r="E48" s="56"/>
      <c r="F48" s="147">
        <f t="shared" si="0"/>
        <v>86867.452223037064</v>
      </c>
      <c r="G48" s="135"/>
    </row>
    <row r="49" spans="1:7" ht="18.600000000000001" customHeight="1" x14ac:dyDescent="0.25">
      <c r="A49" s="133" t="s">
        <v>33</v>
      </c>
      <c r="B49" s="56"/>
      <c r="C49" s="146">
        <f>'Program 10'!C50+'Program 90'!C50</f>
        <v>7727973.1209000004</v>
      </c>
      <c r="D49" s="134">
        <f>'Program 10'!B50+'Program 90'!B50</f>
        <v>102.6</v>
      </c>
      <c r="E49" s="56"/>
      <c r="F49" s="147">
        <f t="shared" si="0"/>
        <v>75321.375447368424</v>
      </c>
      <c r="G49" s="135"/>
    </row>
    <row r="50" spans="1:7" ht="18.600000000000001" customHeight="1" x14ac:dyDescent="0.25">
      <c r="A50" s="133" t="s">
        <v>34</v>
      </c>
      <c r="B50" s="56"/>
      <c r="C50" s="146">
        <f>'Program 10'!C51+'Program 90'!C51</f>
        <v>7780257.7848354327</v>
      </c>
      <c r="D50" s="134">
        <f>'Program 10'!B51+'Program 90'!B51</f>
        <v>126.65</v>
      </c>
      <c r="E50" s="56"/>
      <c r="F50" s="147">
        <f t="shared" si="0"/>
        <v>61431.170823809174</v>
      </c>
      <c r="G50" s="135"/>
    </row>
    <row r="51" spans="1:7" ht="18.600000000000001" customHeight="1" x14ac:dyDescent="0.25">
      <c r="A51" s="133" t="s">
        <v>17</v>
      </c>
      <c r="B51" s="56"/>
      <c r="C51" s="146">
        <f>'Program 10'!C52+'Program 90'!C52</f>
        <v>155579.60919999998</v>
      </c>
      <c r="D51" s="134">
        <f>'Program 10'!B52+'Program 90'!B52</f>
        <v>3.38</v>
      </c>
      <c r="E51" s="56"/>
      <c r="F51" s="147">
        <f t="shared" si="0"/>
        <v>46029.470177514784</v>
      </c>
      <c r="G51" s="135"/>
    </row>
    <row r="52" spans="1:7" ht="18.600000000000001" customHeight="1" x14ac:dyDescent="0.25">
      <c r="A52" s="133" t="s">
        <v>35</v>
      </c>
      <c r="B52" s="56"/>
      <c r="C52" s="146">
        <f>'Program 10'!C53+'Program 90'!C53</f>
        <v>1267550.1199999996</v>
      </c>
      <c r="D52" s="134">
        <f>'Program 10'!B53+'Program 90'!B53</f>
        <v>21.980000000000004</v>
      </c>
      <c r="E52" s="56"/>
      <c r="F52" s="147">
        <f t="shared" si="0"/>
        <v>57668.340309372128</v>
      </c>
      <c r="G52" s="135"/>
    </row>
    <row r="53" spans="1:7" ht="18.600000000000001" customHeight="1" x14ac:dyDescent="0.25">
      <c r="A53" s="133" t="s">
        <v>48</v>
      </c>
      <c r="B53" s="56"/>
      <c r="C53" s="146">
        <f>'Program 10'!C54+'Program 90'!C54</f>
        <v>13046714.363456633</v>
      </c>
      <c r="D53" s="134">
        <f>'Program 10'!B54+'Program 90'!B54</f>
        <v>201</v>
      </c>
      <c r="E53" s="56"/>
      <c r="F53" s="147">
        <f t="shared" si="0"/>
        <v>64909.026683863849</v>
      </c>
      <c r="G53" s="135"/>
    </row>
    <row r="54" spans="1:7" ht="18.600000000000001" customHeight="1" x14ac:dyDescent="0.25">
      <c r="A54" s="133" t="s">
        <v>49</v>
      </c>
      <c r="B54" s="56"/>
      <c r="C54" s="146">
        <f>'Program 10'!C55+'Program 90'!C55</f>
        <v>12151959.584000004</v>
      </c>
      <c r="D54" s="134">
        <f>'Program 10'!B55+'Program 90'!B55</f>
        <v>163.75</v>
      </c>
      <c r="E54" s="56"/>
      <c r="F54" s="147">
        <f t="shared" si="0"/>
        <v>74210.440207633612</v>
      </c>
      <c r="G54" s="135"/>
    </row>
    <row r="55" spans="1:7" ht="18.600000000000001" customHeight="1" x14ac:dyDescent="0.25">
      <c r="A55" s="133" t="s">
        <v>50</v>
      </c>
      <c r="B55" s="56"/>
      <c r="C55" s="146">
        <f>'Program 10'!C56+'Program 90'!C56</f>
        <v>14792476.385080004</v>
      </c>
      <c r="D55" s="134">
        <f>'Program 10'!B56+'Program 90'!B56</f>
        <v>232.05</v>
      </c>
      <c r="E55" s="56"/>
      <c r="F55" s="147">
        <f t="shared" si="0"/>
        <v>63746.935509933217</v>
      </c>
      <c r="G55" s="135"/>
    </row>
    <row r="56" spans="1:7" ht="18.600000000000001" customHeight="1" x14ac:dyDescent="0.25">
      <c r="A56" s="133" t="s">
        <v>36</v>
      </c>
      <c r="B56" s="56"/>
      <c r="C56" s="146">
        <f>'Program 10'!C57+'Program 90'!C57</f>
        <v>2770276.4599999995</v>
      </c>
      <c r="D56" s="134">
        <f>'Program 10'!B57+'Program 90'!B57</f>
        <v>49</v>
      </c>
      <c r="E56" s="56"/>
      <c r="F56" s="147">
        <f t="shared" si="0"/>
        <v>56536.254285714276</v>
      </c>
      <c r="G56" s="135"/>
    </row>
    <row r="57" spans="1:7" ht="18.600000000000001" customHeight="1" x14ac:dyDescent="0.25">
      <c r="A57" s="133" t="s">
        <v>37</v>
      </c>
      <c r="B57" s="56"/>
      <c r="C57" s="146">
        <f>'Program 10'!C58+'Program 90'!C58</f>
        <v>2353882.8600000003</v>
      </c>
      <c r="D57" s="134">
        <f>'Program 10'!B58+'Program 90'!B58</f>
        <v>39.749999999999993</v>
      </c>
      <c r="E57" s="56"/>
      <c r="F57" s="147">
        <f t="shared" si="0"/>
        <v>59217.178867924544</v>
      </c>
      <c r="G57" s="135"/>
    </row>
    <row r="58" spans="1:7" ht="18.600000000000001" customHeight="1" x14ac:dyDescent="0.25">
      <c r="A58" s="133" t="s">
        <v>18</v>
      </c>
      <c r="B58" s="56"/>
      <c r="C58" s="146">
        <f>'Program 10'!C59+'Program 90'!C59</f>
        <v>571498.16999999993</v>
      </c>
      <c r="D58" s="134">
        <f>'Program 10'!B59+'Program 90'!B59</f>
        <v>9.42</v>
      </c>
      <c r="E58" s="56"/>
      <c r="F58" s="147">
        <f t="shared" si="0"/>
        <v>60668.595541401264</v>
      </c>
      <c r="G58" s="135"/>
    </row>
    <row r="59" spans="1:7" ht="18.600000000000001" customHeight="1" x14ac:dyDescent="0.25">
      <c r="A59" s="133" t="s">
        <v>51</v>
      </c>
      <c r="B59" s="56"/>
      <c r="C59" s="146">
        <f>'Program 10'!C60+'Program 90'!C60</f>
        <v>14180467.891199999</v>
      </c>
      <c r="D59" s="134">
        <f>'Program 10'!B60+'Program 90'!B60</f>
        <v>228</v>
      </c>
      <c r="E59" s="56"/>
      <c r="F59" s="147">
        <f t="shared" si="0"/>
        <v>62195.034610526309</v>
      </c>
      <c r="G59" s="135"/>
    </row>
    <row r="60" spans="1:7" ht="18.600000000000001" customHeight="1" x14ac:dyDescent="0.25">
      <c r="A60" s="133" t="s">
        <v>38</v>
      </c>
      <c r="B60" s="56"/>
      <c r="C60" s="146">
        <f>'Program 10'!C61+'Program 90'!C61</f>
        <v>1846914</v>
      </c>
      <c r="D60" s="134">
        <f>'Program 10'!B61+'Program 90'!B61</f>
        <v>34.5</v>
      </c>
      <c r="E60" s="56"/>
      <c r="F60" s="147">
        <f t="shared" si="0"/>
        <v>53533.739130434784</v>
      </c>
      <c r="G60" s="135"/>
    </row>
    <row r="61" spans="1:7" ht="18.600000000000001" customHeight="1" x14ac:dyDescent="0.25">
      <c r="A61" s="133" t="s">
        <v>52</v>
      </c>
      <c r="B61" s="56"/>
      <c r="C61" s="146">
        <f>'Program 10'!C62+'Program 90'!C62</f>
        <v>24049886.853000008</v>
      </c>
      <c r="D61" s="134">
        <f>'Program 10'!B62+'Program 90'!B62</f>
        <v>307.24999999999994</v>
      </c>
      <c r="E61" s="56"/>
      <c r="F61" s="147">
        <f t="shared" si="0"/>
        <v>78274.652084621688</v>
      </c>
      <c r="G61" s="135"/>
    </row>
    <row r="62" spans="1:7" ht="18.600000000000001" customHeight="1" x14ac:dyDescent="0.25">
      <c r="A62" s="133" t="s">
        <v>39</v>
      </c>
      <c r="B62" s="56"/>
      <c r="C62" s="146">
        <f>'Program 10'!C63+'Program 90'!C63</f>
        <v>6061822.5</v>
      </c>
      <c r="D62" s="134">
        <f>'Program 10'!B63+'Program 90'!B63</f>
        <v>92.000000000000014</v>
      </c>
      <c r="E62" s="56"/>
      <c r="F62" s="147">
        <f t="shared" si="0"/>
        <v>65889.374999999985</v>
      </c>
      <c r="G62" s="135"/>
    </row>
    <row r="63" spans="1:7" ht="18.600000000000001" customHeight="1" x14ac:dyDescent="0.25">
      <c r="A63" s="133" t="s">
        <v>40</v>
      </c>
      <c r="B63" s="56"/>
      <c r="C63" s="146">
        <f>'Program 10'!C64+'Program 90'!C64</f>
        <v>3055317.0316000003</v>
      </c>
      <c r="D63" s="134">
        <f>'Program 10'!B64+'Program 90'!B64</f>
        <v>44.1</v>
      </c>
      <c r="E63" s="56"/>
      <c r="F63" s="147">
        <f t="shared" si="0"/>
        <v>69281.565342403628</v>
      </c>
      <c r="G63" s="135"/>
    </row>
    <row r="64" spans="1:7" ht="18.600000000000001" customHeight="1" thickBot="1" x14ac:dyDescent="0.3">
      <c r="A64" s="148" t="s">
        <v>175</v>
      </c>
      <c r="B64" s="56"/>
      <c r="C64" s="149">
        <f>SUM(C6:C63)</f>
        <v>1153428449.2368543</v>
      </c>
      <c r="D64" s="150">
        <f>SUM(D6:D63)</f>
        <v>15575.371499999996</v>
      </c>
      <c r="E64" s="56"/>
      <c r="F64" s="149">
        <f>C64/D64</f>
        <v>74054.634859711354</v>
      </c>
    </row>
    <row r="65" spans="1:8" ht="18.600000000000001" customHeight="1" thickTop="1" x14ac:dyDescent="0.25">
      <c r="A65" s="136"/>
      <c r="B65" s="56"/>
      <c r="C65" s="137"/>
      <c r="D65" s="137"/>
      <c r="E65" s="56"/>
      <c r="F65" s="137"/>
    </row>
    <row r="66" spans="1:8" ht="18.600000000000001" customHeight="1" x14ac:dyDescent="0.25">
      <c r="A66" s="321" t="s">
        <v>80</v>
      </c>
      <c r="B66" s="321"/>
      <c r="C66" s="321"/>
      <c r="D66" s="321"/>
      <c r="E66" s="142"/>
      <c r="F66" s="162">
        <f>AVERAGE(F6:F63)</f>
        <v>66046.209392754768</v>
      </c>
    </row>
    <row r="67" spans="1:8" ht="18.600000000000001" customHeight="1" x14ac:dyDescent="0.25">
      <c r="A67" s="142"/>
      <c r="B67" s="56"/>
      <c r="C67" s="142"/>
      <c r="D67" s="142"/>
      <c r="E67" s="56"/>
      <c r="F67" s="138"/>
    </row>
    <row r="68" spans="1:8" ht="18.600000000000001" customHeight="1" x14ac:dyDescent="0.25">
      <c r="A68" s="143" t="s">
        <v>234</v>
      </c>
      <c r="B68" s="56"/>
      <c r="E68" s="56"/>
      <c r="F68" s="139"/>
    </row>
    <row r="69" spans="1:8" ht="53.65" customHeight="1" x14ac:dyDescent="0.25">
      <c r="A69" s="324" t="s">
        <v>173</v>
      </c>
      <c r="B69" s="324"/>
      <c r="C69" s="324"/>
      <c r="D69" s="324"/>
      <c r="E69" s="324"/>
      <c r="F69" s="324"/>
      <c r="G69" s="324"/>
      <c r="H69" s="324"/>
    </row>
    <row r="70" spans="1:8" x14ac:dyDescent="0.25">
      <c r="B70" s="56"/>
      <c r="C70" s="140"/>
      <c r="E70" s="56"/>
      <c r="F70" s="141"/>
    </row>
    <row r="71" spans="1:8" x14ac:dyDescent="0.25">
      <c r="B71" s="56"/>
      <c r="E71" s="56"/>
    </row>
    <row r="72" spans="1:8" x14ac:dyDescent="0.25">
      <c r="B72" s="56"/>
      <c r="E72" s="56"/>
    </row>
    <row r="73" spans="1:8" x14ac:dyDescent="0.25">
      <c r="B73" s="56"/>
      <c r="E73" s="56"/>
    </row>
  </sheetData>
  <mergeCells count="3">
    <mergeCell ref="A66:D66"/>
    <mergeCell ref="A4:A5"/>
    <mergeCell ref="A69:H69"/>
  </mergeCells>
  <printOptions horizontalCentered="1"/>
  <pageMargins left="0.45" right="0.45" top="0.5" bottom="0.25" header="0.3" footer="0.3"/>
  <pageSetup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dimension ref="A1:K67"/>
  <sheetViews>
    <sheetView zoomScaleNormal="100" workbookViewId="0">
      <pane xSplit="2" ySplit="5" topLeftCell="C46" activePane="bottomRight" state="frozen"/>
      <selection sqref="A1:XFD1048576"/>
      <selection pane="topRight" sqref="A1:XFD1048576"/>
      <selection pane="bottomLeft" sqref="A1:XFD1048576"/>
      <selection pane="bottomRight" activeCell="O22" sqref="O22"/>
    </sheetView>
  </sheetViews>
  <sheetFormatPr defaultColWidth="9.28515625" defaultRowHeight="15" x14ac:dyDescent="0.25"/>
  <cols>
    <col min="1" max="1" width="8.28515625" style="225" customWidth="1"/>
    <col min="2" max="2" width="14.5703125" style="225" customWidth="1"/>
    <col min="3" max="3" width="14" style="225" customWidth="1"/>
    <col min="4" max="4" width="14.28515625" style="225" customWidth="1"/>
    <col min="5" max="5" width="12.5703125" style="225" customWidth="1"/>
    <col min="6" max="6" width="14.28515625" style="244" customWidth="1"/>
    <col min="7" max="7" width="16.28515625" style="244" customWidth="1"/>
    <col min="8" max="8" width="13.140625" style="245" customWidth="1"/>
    <col min="9" max="10" width="0.85546875" style="225" customWidth="1"/>
    <col min="11" max="11" width="8.7109375" style="226" bestFit="1" customWidth="1"/>
    <col min="12" max="16384" width="9.28515625" style="225"/>
  </cols>
  <sheetData>
    <row r="1" spans="1:11" ht="18.75" x14ac:dyDescent="0.25">
      <c r="A1" s="238" t="s">
        <v>185</v>
      </c>
      <c r="B1" s="144"/>
      <c r="C1" s="144"/>
      <c r="D1" s="144"/>
      <c r="E1" s="144"/>
      <c r="F1" s="241"/>
      <c r="G1" s="241"/>
      <c r="H1" s="144"/>
    </row>
    <row r="2" spans="1:11" x14ac:dyDescent="0.25">
      <c r="A2" s="164" t="s">
        <v>236</v>
      </c>
      <c r="B2" s="144"/>
      <c r="C2" s="144"/>
      <c r="D2" s="144"/>
      <c r="E2" s="144"/>
      <c r="F2" s="241"/>
      <c r="G2" s="241"/>
      <c r="H2" s="144"/>
    </row>
    <row r="3" spans="1:11" x14ac:dyDescent="0.25">
      <c r="A3" s="227"/>
      <c r="B3" s="227"/>
      <c r="C3" s="227"/>
      <c r="D3" s="227"/>
      <c r="E3" s="227"/>
      <c r="F3" s="242"/>
      <c r="G3" s="242"/>
      <c r="H3" s="227"/>
    </row>
    <row r="4" spans="1:11" ht="63.75" x14ac:dyDescent="0.25">
      <c r="A4" s="325" t="s">
        <v>68</v>
      </c>
      <c r="B4" s="325" t="s">
        <v>63</v>
      </c>
      <c r="C4" s="247" t="s">
        <v>205</v>
      </c>
      <c r="D4" s="228" t="str">
        <f>"FTE Dollar Factor Applied ("&amp;TEXT('AVG RAS salary'!F66,"$##,###")&amp;" * BLS)"</f>
        <v>FTE Dollar Factor Applied ($66,046 * BLS)</v>
      </c>
      <c r="E4" s="228" t="s">
        <v>206</v>
      </c>
      <c r="F4" s="228" t="s">
        <v>98</v>
      </c>
      <c r="G4" s="247" t="str">
        <f>"Has FTE Need &lt;50 AND FTE Dollar Factor is Less Than Median of "&amp;TEXT(D67,"$##,###")&amp;"?"</f>
        <v>Has FTE Need &lt;50 AND FTE Dollar Factor is Less Than Median of $50,020?</v>
      </c>
      <c r="H4" s="79" t="s">
        <v>69</v>
      </c>
      <c r="K4" s="226" t="s">
        <v>81</v>
      </c>
    </row>
    <row r="5" spans="1:11" x14ac:dyDescent="0.25">
      <c r="A5" s="326"/>
      <c r="B5" s="326"/>
      <c r="C5" s="83" t="s">
        <v>65</v>
      </c>
      <c r="D5" s="83" t="s">
        <v>1</v>
      </c>
      <c r="E5" s="83" t="s">
        <v>66</v>
      </c>
      <c r="F5" s="83" t="s">
        <v>2</v>
      </c>
      <c r="G5" s="83" t="s">
        <v>3</v>
      </c>
      <c r="H5" s="83" t="s">
        <v>93</v>
      </c>
    </row>
    <row r="6" spans="1:11" x14ac:dyDescent="0.25">
      <c r="A6" s="239">
        <v>4</v>
      </c>
      <c r="B6" s="229" t="s">
        <v>53</v>
      </c>
      <c r="C6" s="163">
        <f>VLOOKUP(B6,BLS!$B$7:$I$64,8,FALSE)</f>
        <v>1.4460963010787964</v>
      </c>
      <c r="D6" s="146">
        <f>C6*'AVG RAS salary'!$F$66</f>
        <v>95509.179103138333</v>
      </c>
      <c r="E6" s="240">
        <f>VLOOKUP(B6,'WF Need'!B7:F64,5,FALSE)</f>
        <v>569</v>
      </c>
      <c r="F6" s="243" t="str">
        <f t="shared" ref="F6:F63" si="0">IF(E6&lt;50,"Yes","")</f>
        <v/>
      </c>
      <c r="G6" s="243" t="str">
        <f t="shared" ref="G6:G63" si="1">IF(F6="Yes",(IF(D6&lt;$D$67,"Yes","")),"")</f>
        <v/>
      </c>
      <c r="H6" s="178">
        <f>IF(F6="Yes", IF(G6="Yes",$D$67,D6),D6)</f>
        <v>95509.179103138333</v>
      </c>
      <c r="K6" s="230" t="str">
        <f>IF(F6="Yes",D6,"")</f>
        <v/>
      </c>
    </row>
    <row r="7" spans="1:11" x14ac:dyDescent="0.25">
      <c r="A7" s="239">
        <v>1</v>
      </c>
      <c r="B7" s="229" t="s">
        <v>4</v>
      </c>
      <c r="C7" s="163">
        <f>VLOOKUP(B7,BLS!$B$7:$I$64,8,FALSE)</f>
        <v>0.64925616979598999</v>
      </c>
      <c r="D7" s="146">
        <f>C7*'AVG RAS salary'!$F$66</f>
        <v>42880.908939883899</v>
      </c>
      <c r="E7" s="240">
        <f>VLOOKUP(B7,'WF Need'!B8:F65,5,FALSE)</f>
        <v>3</v>
      </c>
      <c r="F7" s="243" t="str">
        <f t="shared" si="0"/>
        <v>Yes</v>
      </c>
      <c r="G7" s="243" t="str">
        <f t="shared" si="1"/>
        <v>Yes</v>
      </c>
      <c r="H7" s="248">
        <f>IF(F7="Yes", IF(G7="Yes",$D$67,D7),D7)</f>
        <v>50019.866240924675</v>
      </c>
      <c r="K7" s="230">
        <f>IF(F7="Yes",D7,"")</f>
        <v>42880.908939883899</v>
      </c>
    </row>
    <row r="8" spans="1:11" x14ac:dyDescent="0.25">
      <c r="A8" s="239">
        <v>1</v>
      </c>
      <c r="B8" s="229" t="s">
        <v>5</v>
      </c>
      <c r="C8" s="163">
        <f>VLOOKUP(B8,BLS!$B$7:$I$64,8,FALSE)</f>
        <v>0.96828967332839966</v>
      </c>
      <c r="D8" s="146">
        <f>C8*'AVG RAS salary'!$F$66</f>
        <v>63951.862517489593</v>
      </c>
      <c r="E8" s="240">
        <f>VLOOKUP(B8,'WF Need'!B9:F66,5,FALSE)</f>
        <v>32</v>
      </c>
      <c r="F8" s="243" t="str">
        <f t="shared" si="0"/>
        <v>Yes</v>
      </c>
      <c r="G8" s="243" t="str">
        <f t="shared" si="1"/>
        <v/>
      </c>
      <c r="H8" s="248">
        <f t="shared" ref="H8:H63" si="2">IF(F8="Yes", IF(G8="Yes",$D$67,D8),D8)</f>
        <v>63951.862517489593</v>
      </c>
      <c r="K8" s="230">
        <f t="shared" ref="K8:K62" si="3">IF(F8="Yes",D8,"")</f>
        <v>63951.862517489593</v>
      </c>
    </row>
    <row r="9" spans="1:11" x14ac:dyDescent="0.25">
      <c r="A9" s="239">
        <v>2</v>
      </c>
      <c r="B9" s="229" t="s">
        <v>19</v>
      </c>
      <c r="C9" s="163">
        <f>VLOOKUP(B9,BLS!$B$7:$I$64,8,FALSE)</f>
        <v>0.91068518161773682</v>
      </c>
      <c r="D9" s="146">
        <f>C9*'AVG RAS salary'!$F$66</f>
        <v>60147.304196003948</v>
      </c>
      <c r="E9" s="240">
        <f>VLOOKUP(B9,'WF Need'!B10:F67,5,FALSE)</f>
        <v>140</v>
      </c>
      <c r="F9" s="243" t="str">
        <f t="shared" si="0"/>
        <v/>
      </c>
      <c r="G9" s="243" t="str">
        <f t="shared" si="1"/>
        <v/>
      </c>
      <c r="H9" s="248">
        <f t="shared" si="2"/>
        <v>60147.304196003948</v>
      </c>
      <c r="K9" s="230" t="str">
        <f t="shared" si="3"/>
        <v/>
      </c>
    </row>
    <row r="10" spans="1:11" x14ac:dyDescent="0.25">
      <c r="A10" s="239">
        <v>1</v>
      </c>
      <c r="B10" s="229" t="s">
        <v>6</v>
      </c>
      <c r="C10" s="163">
        <f>VLOOKUP(B10,BLS!$B$7:$I$64,8,FALSE)</f>
        <v>0.82971793413162231</v>
      </c>
      <c r="D10" s="146">
        <f>C10*'AVG RAS salary'!$F$66</f>
        <v>54799.724414581033</v>
      </c>
      <c r="E10" s="240">
        <f>VLOOKUP(B10,'WF Need'!B11:F69,5,FALSE)</f>
        <v>28</v>
      </c>
      <c r="F10" s="243" t="str">
        <f t="shared" si="0"/>
        <v>Yes</v>
      </c>
      <c r="G10" s="243" t="str">
        <f t="shared" si="1"/>
        <v/>
      </c>
      <c r="H10" s="248">
        <f t="shared" si="2"/>
        <v>54799.724414581033</v>
      </c>
      <c r="K10" s="230">
        <f t="shared" si="3"/>
        <v>54799.724414581033</v>
      </c>
    </row>
    <row r="11" spans="1:11" x14ac:dyDescent="0.25">
      <c r="A11" s="239">
        <v>1</v>
      </c>
      <c r="B11" s="229" t="s">
        <v>7</v>
      </c>
      <c r="C11" s="163">
        <f>VLOOKUP(B11,BLS!$B$7:$I$64,8,FALSE)</f>
        <v>0.73231703042984009</v>
      </c>
      <c r="D11" s="146">
        <f>C11*'AVG RAS salary'!$F$66</f>
        <v>48366.763933649585</v>
      </c>
      <c r="E11" s="240">
        <f>VLOOKUP(B11,'WF Need'!B12:F71,5,FALSE)</f>
        <v>20</v>
      </c>
      <c r="F11" s="243" t="str">
        <f t="shared" si="0"/>
        <v>Yes</v>
      </c>
      <c r="G11" s="243" t="str">
        <f t="shared" si="1"/>
        <v>Yes</v>
      </c>
      <c r="H11" s="248">
        <f>IF(F11="Yes", IF(G11="Yes",$D$67,D11),D11)</f>
        <v>50019.866240924675</v>
      </c>
      <c r="K11" s="230">
        <f t="shared" si="3"/>
        <v>48366.763933649585</v>
      </c>
    </row>
    <row r="12" spans="1:11" x14ac:dyDescent="0.25">
      <c r="A12" s="239">
        <v>3</v>
      </c>
      <c r="B12" s="229" t="s">
        <v>41</v>
      </c>
      <c r="C12" s="163">
        <f>VLOOKUP(B12,BLS!$B$7:$I$64,8,FALSE)</f>
        <v>1.3021576404571533</v>
      </c>
      <c r="D12" s="146">
        <f>C12*'AVG RAS salary'!$F$66</f>
        <v>86002.57618400862</v>
      </c>
      <c r="E12" s="240">
        <f>VLOOKUP(B12,'WF Need'!B13:F73,5,FALSE)</f>
        <v>379</v>
      </c>
      <c r="F12" s="243" t="str">
        <f t="shared" si="0"/>
        <v/>
      </c>
      <c r="G12" s="243" t="str">
        <f t="shared" si="1"/>
        <v/>
      </c>
      <c r="H12" s="248">
        <f t="shared" si="2"/>
        <v>86002.57618400862</v>
      </c>
      <c r="K12" s="230" t="str">
        <f t="shared" si="3"/>
        <v/>
      </c>
    </row>
    <row r="13" spans="1:11" x14ac:dyDescent="0.25">
      <c r="A13" s="239">
        <v>1</v>
      </c>
      <c r="B13" s="229" t="s">
        <v>8</v>
      </c>
      <c r="C13" s="163">
        <f>VLOOKUP(B13,BLS!$B$7:$I$64,8,FALSE)</f>
        <v>0.757346510887146</v>
      </c>
      <c r="D13" s="146">
        <f>C13*'AVG RAS salary'!$F$66</f>
        <v>50019.866240924675</v>
      </c>
      <c r="E13" s="240">
        <f>VLOOKUP(B13,'WF Need'!B14:F73,5,FALSE)</f>
        <v>29</v>
      </c>
      <c r="F13" s="243" t="str">
        <f t="shared" si="0"/>
        <v>Yes</v>
      </c>
      <c r="G13" s="243" t="str">
        <f t="shared" si="1"/>
        <v/>
      </c>
      <c r="H13" s="248">
        <f t="shared" si="2"/>
        <v>50019.866240924675</v>
      </c>
      <c r="K13" s="230">
        <f t="shared" si="3"/>
        <v>50019.866240924675</v>
      </c>
    </row>
    <row r="14" spans="1:11" x14ac:dyDescent="0.25">
      <c r="A14" s="239">
        <v>2</v>
      </c>
      <c r="B14" s="229" t="s">
        <v>20</v>
      </c>
      <c r="C14" s="163">
        <f>VLOOKUP(B14,BLS!$B$7:$I$64,8,FALSE)</f>
        <v>1.074924111366272</v>
      </c>
      <c r="D14" s="146">
        <f>C14*'AVG RAS salary'!$F$66</f>
        <v>70994.662940617651</v>
      </c>
      <c r="E14" s="240">
        <f>VLOOKUP(B14,'WF Need'!B15:F73,5,FALSE)</f>
        <v>79</v>
      </c>
      <c r="F14" s="243" t="str">
        <f t="shared" si="0"/>
        <v/>
      </c>
      <c r="G14" s="243" t="str">
        <f t="shared" si="1"/>
        <v/>
      </c>
      <c r="H14" s="248">
        <f t="shared" si="2"/>
        <v>70994.662940617651</v>
      </c>
      <c r="K14" s="230" t="str">
        <f t="shared" si="3"/>
        <v/>
      </c>
    </row>
    <row r="15" spans="1:11" x14ac:dyDescent="0.25">
      <c r="A15" s="239">
        <v>3</v>
      </c>
      <c r="B15" s="229" t="s">
        <v>42</v>
      </c>
      <c r="C15" s="163">
        <f>VLOOKUP(B15,BLS!$B$7:$I$64,8,FALSE)</f>
        <v>0.94610399007797241</v>
      </c>
      <c r="D15" s="146">
        <f>C15*'AVG RAS salary'!$F$66</f>
        <v>62486.582236010545</v>
      </c>
      <c r="E15" s="240">
        <f>VLOOKUP(B15,'WF Need'!B16:F74,5,FALSE)</f>
        <v>550</v>
      </c>
      <c r="F15" s="243" t="str">
        <f t="shared" si="0"/>
        <v/>
      </c>
      <c r="G15" s="243" t="str">
        <f t="shared" si="1"/>
        <v/>
      </c>
      <c r="H15" s="248">
        <f t="shared" si="2"/>
        <v>62486.582236010545</v>
      </c>
      <c r="K15" s="230" t="str">
        <f t="shared" si="3"/>
        <v/>
      </c>
    </row>
    <row r="16" spans="1:11" x14ac:dyDescent="0.25">
      <c r="A16" s="239">
        <v>1</v>
      </c>
      <c r="B16" s="229" t="s">
        <v>9</v>
      </c>
      <c r="C16" s="163">
        <f>VLOOKUP(B16,BLS!$B$7:$I$64,8,FALSE)</f>
        <v>0.67969346046447754</v>
      </c>
      <c r="D16" s="146">
        <f>C16*'AVG RAS salary'!$F$66</f>
        <v>44891.176612722971</v>
      </c>
      <c r="E16" s="240">
        <f>VLOOKUP(B16,'WF Need'!B17:F75,5,FALSE)</f>
        <v>24</v>
      </c>
      <c r="F16" s="243" t="str">
        <f t="shared" si="0"/>
        <v>Yes</v>
      </c>
      <c r="G16" s="243" t="str">
        <f t="shared" si="1"/>
        <v>Yes</v>
      </c>
      <c r="H16" s="248">
        <f t="shared" si="2"/>
        <v>50019.866240924675</v>
      </c>
      <c r="K16" s="230">
        <f t="shared" si="3"/>
        <v>44891.176612722971</v>
      </c>
    </row>
    <row r="17" spans="1:11" x14ac:dyDescent="0.25">
      <c r="A17" s="239">
        <v>2</v>
      </c>
      <c r="B17" s="229" t="s">
        <v>21</v>
      </c>
      <c r="C17" s="163">
        <f>VLOOKUP(B17,BLS!$B$7:$I$64,8,FALSE)</f>
        <v>0.72361463308334351</v>
      </c>
      <c r="D17" s="146">
        <f>C17*'AVG RAS salary'!$F$66</f>
        <v>47792.003576283918</v>
      </c>
      <c r="E17" s="240">
        <f>VLOOKUP(B17,'WF Need'!B18:F76,5,FALSE)</f>
        <v>94</v>
      </c>
      <c r="F17" s="243" t="str">
        <f t="shared" si="0"/>
        <v/>
      </c>
      <c r="G17" s="243" t="str">
        <f t="shared" si="1"/>
        <v/>
      </c>
      <c r="H17" s="248">
        <f t="shared" si="2"/>
        <v>47792.003576283918</v>
      </c>
      <c r="K17" s="230" t="str">
        <f t="shared" si="3"/>
        <v/>
      </c>
    </row>
    <row r="18" spans="1:11" x14ac:dyDescent="0.25">
      <c r="A18" s="239">
        <v>2</v>
      </c>
      <c r="B18" s="229" t="s">
        <v>22</v>
      </c>
      <c r="C18" s="163">
        <f>VLOOKUP(B18,BLS!$B$7:$I$64,8,FALSE)</f>
        <v>0.71909677982330322</v>
      </c>
      <c r="D18" s="146">
        <f>C18*'AVG RAS salary'!$F$66</f>
        <v>47493.616493865557</v>
      </c>
      <c r="E18" s="240">
        <f>VLOOKUP(B18,'WF Need'!B19:F77,5,FALSE)</f>
        <v>114</v>
      </c>
      <c r="F18" s="243" t="str">
        <f t="shared" si="0"/>
        <v/>
      </c>
      <c r="G18" s="243" t="str">
        <f t="shared" si="1"/>
        <v/>
      </c>
      <c r="H18" s="248">
        <f t="shared" si="2"/>
        <v>47493.616493865557</v>
      </c>
      <c r="K18" s="230" t="str">
        <f t="shared" si="3"/>
        <v/>
      </c>
    </row>
    <row r="19" spans="1:11" x14ac:dyDescent="0.25">
      <c r="A19" s="239">
        <v>1</v>
      </c>
      <c r="B19" s="229" t="s">
        <v>10</v>
      </c>
      <c r="C19" s="163">
        <f>VLOOKUP(B19,BLS!$B$7:$I$64,8,FALSE)</f>
        <v>0.78644341230392456</v>
      </c>
      <c r="D19" s="146">
        <f>C19*'AVG RAS salary'!$F$66</f>
        <v>51941.606284577574</v>
      </c>
      <c r="E19" s="240">
        <f>VLOOKUP(B19,'WF Need'!B20:F78,5,FALSE)</f>
        <v>22</v>
      </c>
      <c r="F19" s="243" t="str">
        <f t="shared" si="0"/>
        <v>Yes</v>
      </c>
      <c r="G19" s="243" t="str">
        <f t="shared" si="1"/>
        <v/>
      </c>
      <c r="H19" s="248">
        <f t="shared" si="2"/>
        <v>51941.606284577574</v>
      </c>
      <c r="K19" s="230">
        <f t="shared" si="3"/>
        <v>51941.606284577574</v>
      </c>
    </row>
    <row r="20" spans="1:11" x14ac:dyDescent="0.25">
      <c r="A20" s="239">
        <v>3</v>
      </c>
      <c r="B20" s="229" t="s">
        <v>43</v>
      </c>
      <c r="C20" s="163">
        <f>VLOOKUP(B20,BLS!$B$7:$I$64,8,FALSE)</f>
        <v>0.95929700136184692</v>
      </c>
      <c r="D20" s="146">
        <f>C20*'AVG RAS salary'!$F$66</f>
        <v>63357.930621786298</v>
      </c>
      <c r="E20" s="240">
        <f>VLOOKUP(B20,'WF Need'!B21:F79,5,FALSE)</f>
        <v>543</v>
      </c>
      <c r="F20" s="243" t="str">
        <f t="shared" si="0"/>
        <v/>
      </c>
      <c r="G20" s="243" t="str">
        <f t="shared" si="1"/>
        <v/>
      </c>
      <c r="H20" s="248">
        <f t="shared" si="2"/>
        <v>63357.930621786298</v>
      </c>
      <c r="K20" s="230" t="str">
        <f t="shared" si="3"/>
        <v/>
      </c>
    </row>
    <row r="21" spans="1:11" x14ac:dyDescent="0.25">
      <c r="A21" s="239">
        <v>2</v>
      </c>
      <c r="B21" s="229" t="s">
        <v>23</v>
      </c>
      <c r="C21" s="163">
        <f>VLOOKUP(B21,BLS!$B$7:$I$64,8,FALSE)</f>
        <v>0.86994433403015137</v>
      </c>
      <c r="D21" s="146">
        <f>C21*'AVG RAS salary'!$F$66</f>
        <v>57456.525645395974</v>
      </c>
      <c r="E21" s="240">
        <f>VLOOKUP(B21,'WF Need'!B22:F80,5,FALSE)</f>
        <v>115</v>
      </c>
      <c r="F21" s="243" t="str">
        <f t="shared" si="0"/>
        <v/>
      </c>
      <c r="G21" s="243" t="str">
        <f t="shared" si="1"/>
        <v/>
      </c>
      <c r="H21" s="248">
        <f t="shared" si="2"/>
        <v>57456.525645395974</v>
      </c>
      <c r="K21" s="230" t="str">
        <f t="shared" si="3"/>
        <v/>
      </c>
    </row>
    <row r="22" spans="1:11" x14ac:dyDescent="0.25">
      <c r="A22" s="239">
        <v>2</v>
      </c>
      <c r="B22" s="229" t="s">
        <v>24</v>
      </c>
      <c r="C22" s="163">
        <f>VLOOKUP(B22,BLS!$B$7:$I$64,8,FALSE)</f>
        <v>0.75253069400787354</v>
      </c>
      <c r="D22" s="146">
        <f>C22*'AVG RAS salary'!$F$66</f>
        <v>49701.799790919082</v>
      </c>
      <c r="E22" s="240">
        <f>VLOOKUP(B22,'WF Need'!B23:F81,5,FALSE)</f>
        <v>59</v>
      </c>
      <c r="F22" s="243" t="str">
        <f t="shared" si="0"/>
        <v/>
      </c>
      <c r="G22" s="243" t="str">
        <f t="shared" si="1"/>
        <v/>
      </c>
      <c r="H22" s="248">
        <f t="shared" si="2"/>
        <v>49701.799790919082</v>
      </c>
      <c r="K22" s="230" t="str">
        <f t="shared" si="3"/>
        <v/>
      </c>
    </row>
    <row r="23" spans="1:11" x14ac:dyDescent="0.25">
      <c r="A23" s="239">
        <v>1</v>
      </c>
      <c r="B23" s="229" t="s">
        <v>11</v>
      </c>
      <c r="C23" s="163">
        <f>VLOOKUP(B23,BLS!$B$7:$I$64,8,FALSE)</f>
        <v>0.77656841278076172</v>
      </c>
      <c r="D23" s="146">
        <f>C23*'AVG RAS salary'!$F$66</f>
        <v>51289.399998317407</v>
      </c>
      <c r="E23" s="240">
        <f>VLOOKUP(B23,'WF Need'!B24:F82,5,FALSE)</f>
        <v>23</v>
      </c>
      <c r="F23" s="243" t="str">
        <f t="shared" si="0"/>
        <v>Yes</v>
      </c>
      <c r="G23" s="243" t="str">
        <f t="shared" si="1"/>
        <v/>
      </c>
      <c r="H23" s="248">
        <f t="shared" si="2"/>
        <v>51289.399998317407</v>
      </c>
      <c r="K23" s="230">
        <f t="shared" si="3"/>
        <v>51289.399998317407</v>
      </c>
    </row>
    <row r="24" spans="1:11" x14ac:dyDescent="0.25">
      <c r="A24" s="239">
        <v>4</v>
      </c>
      <c r="B24" s="229" t="s">
        <v>54</v>
      </c>
      <c r="C24" s="163">
        <f>VLOOKUP(B24,BLS!$B$7:$I$64,8,FALSE)</f>
        <v>1.4051740169525146</v>
      </c>
      <c r="D24" s="146">
        <f>C24*'AVG RAS salary'!$F$66</f>
        <v>92806.417356904116</v>
      </c>
      <c r="E24" s="240">
        <f>VLOOKUP(B24,'WF Need'!B25:F83,5,FALSE)</f>
        <v>4938</v>
      </c>
      <c r="F24" s="243" t="str">
        <f t="shared" si="0"/>
        <v/>
      </c>
      <c r="G24" s="243" t="str">
        <f t="shared" si="1"/>
        <v/>
      </c>
      <c r="H24" s="248">
        <f t="shared" si="2"/>
        <v>92806.417356904116</v>
      </c>
      <c r="K24" s="230" t="str">
        <f t="shared" si="3"/>
        <v/>
      </c>
    </row>
    <row r="25" spans="1:11" x14ac:dyDescent="0.25">
      <c r="A25" s="239">
        <v>2</v>
      </c>
      <c r="B25" s="229" t="s">
        <v>25</v>
      </c>
      <c r="C25" s="163">
        <f>VLOOKUP(B25,BLS!$B$7:$I$64,8,FALSE)</f>
        <v>0.93298614025115967</v>
      </c>
      <c r="D25" s="146">
        <f>C25*'AVG RAS salary'!$F$66</f>
        <v>61620.197979566161</v>
      </c>
      <c r="E25" s="240">
        <f>VLOOKUP(B25,'WF Need'!B26:F84,5,FALSE)</f>
        <v>112</v>
      </c>
      <c r="F25" s="243" t="str">
        <f t="shared" si="0"/>
        <v/>
      </c>
      <c r="G25" s="243" t="str">
        <f t="shared" si="1"/>
        <v/>
      </c>
      <c r="H25" s="248">
        <f t="shared" si="2"/>
        <v>61620.197979566161</v>
      </c>
      <c r="K25" s="230" t="str">
        <f t="shared" si="3"/>
        <v/>
      </c>
    </row>
    <row r="26" spans="1:11" x14ac:dyDescent="0.25">
      <c r="A26" s="239">
        <v>2</v>
      </c>
      <c r="B26" s="229" t="s">
        <v>26</v>
      </c>
      <c r="C26" s="163">
        <f>VLOOKUP(B26,BLS!$B$7:$I$64,8,FALSE)</f>
        <v>1.3190077543258667</v>
      </c>
      <c r="D26" s="146">
        <f>C26*'AVG RAS salary'!$F$66</f>
        <v>87115.462332873431</v>
      </c>
      <c r="E26" s="240">
        <f>VLOOKUP(B26,'WF Need'!B27:F85,5,FALSE)</f>
        <v>103</v>
      </c>
      <c r="F26" s="243" t="str">
        <f t="shared" si="0"/>
        <v/>
      </c>
      <c r="G26" s="243" t="str">
        <f t="shared" si="1"/>
        <v/>
      </c>
      <c r="H26" s="248">
        <f t="shared" si="2"/>
        <v>87115.462332873431</v>
      </c>
      <c r="K26" s="230" t="str">
        <f t="shared" si="3"/>
        <v/>
      </c>
    </row>
    <row r="27" spans="1:11" x14ac:dyDescent="0.25">
      <c r="A27" s="239">
        <v>1</v>
      </c>
      <c r="B27" s="229" t="s">
        <v>12</v>
      </c>
      <c r="C27" s="163">
        <f>VLOOKUP(B27,BLS!$B$7:$I$64,8,FALSE)</f>
        <v>0.88950121402740479</v>
      </c>
      <c r="D27" s="146">
        <f>C27*'AVG RAS salary'!$F$66</f>
        <v>58748.183436763553</v>
      </c>
      <c r="E27" s="240">
        <f>VLOOKUP(B27,'WF Need'!B28:F86,5,FALSE)</f>
        <v>15</v>
      </c>
      <c r="F27" s="243" t="str">
        <f t="shared" si="0"/>
        <v>Yes</v>
      </c>
      <c r="G27" s="243" t="str">
        <f t="shared" si="1"/>
        <v/>
      </c>
      <c r="H27" s="248">
        <f t="shared" si="2"/>
        <v>58748.183436763553</v>
      </c>
      <c r="K27" s="230">
        <f t="shared" si="3"/>
        <v>58748.183436763553</v>
      </c>
    </row>
    <row r="28" spans="1:11" x14ac:dyDescent="0.25">
      <c r="A28" s="239">
        <v>2</v>
      </c>
      <c r="B28" s="229" t="s">
        <v>27</v>
      </c>
      <c r="C28" s="163">
        <f>VLOOKUP(B28,BLS!$B$7:$I$64,8,FALSE)</f>
        <v>0.78580397367477417</v>
      </c>
      <c r="D28" s="146">
        <f>C28*'AVG RAS salary'!$F$66</f>
        <v>51899.373786982891</v>
      </c>
      <c r="E28" s="240">
        <f>VLOOKUP(B28,'WF Need'!B29:F87,5,FALSE)</f>
        <v>70</v>
      </c>
      <c r="F28" s="243" t="str">
        <f t="shared" si="0"/>
        <v/>
      </c>
      <c r="G28" s="243" t="str">
        <f t="shared" si="1"/>
        <v/>
      </c>
      <c r="H28" s="248">
        <f t="shared" si="2"/>
        <v>51899.373786982891</v>
      </c>
      <c r="K28" s="230" t="str">
        <f t="shared" si="3"/>
        <v/>
      </c>
    </row>
    <row r="29" spans="1:11" x14ac:dyDescent="0.25">
      <c r="A29" s="239">
        <v>2</v>
      </c>
      <c r="B29" s="229" t="s">
        <v>28</v>
      </c>
      <c r="C29" s="163">
        <f>VLOOKUP(B29,BLS!$B$7:$I$64,8,FALSE)</f>
        <v>0.82987165451049805</v>
      </c>
      <c r="D29" s="146">
        <f>C29*'AVG RAS salary'!$F$66</f>
        <v>54809.877062912194</v>
      </c>
      <c r="E29" s="240">
        <f>VLOOKUP(B29,'WF Need'!B30:F88,5,FALSE)</f>
        <v>163</v>
      </c>
      <c r="F29" s="243" t="str">
        <f t="shared" si="0"/>
        <v/>
      </c>
      <c r="G29" s="243" t="str">
        <f t="shared" si="1"/>
        <v/>
      </c>
      <c r="H29" s="248">
        <f t="shared" si="2"/>
        <v>54809.877062912194</v>
      </c>
      <c r="K29" s="230" t="str">
        <f t="shared" si="3"/>
        <v/>
      </c>
    </row>
    <row r="30" spans="1:11" x14ac:dyDescent="0.25">
      <c r="A30" s="239">
        <v>1</v>
      </c>
      <c r="B30" s="229" t="s">
        <v>13</v>
      </c>
      <c r="C30" s="163">
        <f>VLOOKUP(B30,BLS!$B$7:$I$64,8,FALSE)</f>
        <v>0.56720787286758423</v>
      </c>
      <c r="D30" s="146">
        <f>C30*'AVG RAS salary'!$F$66</f>
        <v>37461.929940631497</v>
      </c>
      <c r="E30" s="240">
        <f>VLOOKUP(B30,'WF Need'!B31:F89,5,FALSE)</f>
        <v>11</v>
      </c>
      <c r="F30" s="243" t="str">
        <f t="shared" si="0"/>
        <v>Yes</v>
      </c>
      <c r="G30" s="243" t="str">
        <f t="shared" si="1"/>
        <v>Yes</v>
      </c>
      <c r="H30" s="248">
        <f t="shared" si="2"/>
        <v>50019.866240924675</v>
      </c>
      <c r="K30" s="230">
        <f t="shared" si="3"/>
        <v>37461.929940631497</v>
      </c>
    </row>
    <row r="31" spans="1:11" x14ac:dyDescent="0.25">
      <c r="A31" s="239">
        <v>1</v>
      </c>
      <c r="B31" s="229" t="s">
        <v>14</v>
      </c>
      <c r="C31" s="163">
        <f>VLOOKUP(B31,BLS!$B$7:$I$64,8,FALSE)</f>
        <v>0.91546094417572021</v>
      </c>
      <c r="D31" s="146">
        <f>C31*'AVG RAS salary'!$F$66</f>
        <v>60462.725209918601</v>
      </c>
      <c r="E31" s="240">
        <f>VLOOKUP(B31,'WF Need'!B32:F90,5,FALSE)</f>
        <v>15</v>
      </c>
      <c r="F31" s="243" t="str">
        <f t="shared" si="0"/>
        <v>Yes</v>
      </c>
      <c r="G31" s="243" t="str">
        <f t="shared" si="1"/>
        <v/>
      </c>
      <c r="H31" s="248">
        <f t="shared" si="2"/>
        <v>60462.725209918601</v>
      </c>
      <c r="K31" s="230">
        <f t="shared" si="3"/>
        <v>60462.725209918601</v>
      </c>
    </row>
    <row r="32" spans="1:11" x14ac:dyDescent="0.25">
      <c r="A32" s="239">
        <v>3</v>
      </c>
      <c r="B32" s="229" t="s">
        <v>44</v>
      </c>
      <c r="C32" s="163">
        <f>VLOOKUP(B32,BLS!$B$7:$I$64,8,FALSE)</f>
        <v>1.1577929258346558</v>
      </c>
      <c r="D32" s="146">
        <f>C32*'AVG RAS salary'!$F$66</f>
        <v>76467.834013125859</v>
      </c>
      <c r="E32" s="240">
        <f>VLOOKUP(B32,'WF Need'!B33:F91,5,FALSE)</f>
        <v>213</v>
      </c>
      <c r="F32" s="243" t="str">
        <f t="shared" si="0"/>
        <v/>
      </c>
      <c r="G32" s="243" t="str">
        <f t="shared" si="1"/>
        <v/>
      </c>
      <c r="H32" s="248">
        <f t="shared" si="2"/>
        <v>76467.834013125859</v>
      </c>
      <c r="K32" s="230" t="str">
        <f t="shared" si="3"/>
        <v/>
      </c>
    </row>
    <row r="33" spans="1:11" x14ac:dyDescent="0.25">
      <c r="A33" s="239">
        <v>2</v>
      </c>
      <c r="B33" s="229" t="s">
        <v>29</v>
      </c>
      <c r="C33" s="163">
        <f>VLOOKUP(B33,BLS!$B$7:$I$64,8,FALSE)</f>
        <v>1.2612239122390747</v>
      </c>
      <c r="D33" s="146">
        <f>C33*'AVG RAS salary'!$F$66</f>
        <v>83299.058598891294</v>
      </c>
      <c r="E33" s="240">
        <f>VLOOKUP(B33,'WF Need'!B34:F92,5,FALSE)</f>
        <v>72</v>
      </c>
      <c r="F33" s="243" t="str">
        <f t="shared" si="0"/>
        <v/>
      </c>
      <c r="G33" s="243" t="str">
        <f t="shared" si="1"/>
        <v/>
      </c>
      <c r="H33" s="248">
        <f t="shared" si="2"/>
        <v>83299.058598891294</v>
      </c>
      <c r="K33" s="230" t="str">
        <f t="shared" si="3"/>
        <v/>
      </c>
    </row>
    <row r="34" spans="1:11" x14ac:dyDescent="0.25">
      <c r="A34" s="239">
        <v>2</v>
      </c>
      <c r="B34" s="229" t="s">
        <v>30</v>
      </c>
      <c r="C34" s="163">
        <f>VLOOKUP(B34,BLS!$B$7:$I$64,8,FALSE)</f>
        <v>1.0633378028869629</v>
      </c>
      <c r="D34" s="146">
        <f>C34*'AVG RAS salary'!$F$66</f>
        <v>70229.431184704154</v>
      </c>
      <c r="E34" s="240">
        <f>VLOOKUP(B34,'WF Need'!B35:F93,5,FALSE)</f>
        <v>55</v>
      </c>
      <c r="F34" s="243" t="str">
        <f t="shared" si="0"/>
        <v/>
      </c>
      <c r="G34" s="243" t="str">
        <f t="shared" si="1"/>
        <v/>
      </c>
      <c r="H34" s="248">
        <f t="shared" si="2"/>
        <v>70229.431184704154</v>
      </c>
      <c r="K34" s="230" t="str">
        <f t="shared" si="3"/>
        <v/>
      </c>
    </row>
    <row r="35" spans="1:11" x14ac:dyDescent="0.25">
      <c r="A35" s="239">
        <v>4</v>
      </c>
      <c r="B35" s="229" t="s">
        <v>55</v>
      </c>
      <c r="C35" s="163">
        <f>VLOOKUP(B35,BLS!$B$7:$I$64,8,FALSE)</f>
        <v>1.2659307718276978</v>
      </c>
      <c r="D35" s="146">
        <f>C35*'AVG RAS salary'!$F$66</f>
        <v>83609.928832863792</v>
      </c>
      <c r="E35" s="240">
        <f>VLOOKUP(B35,'WF Need'!B36:F94,5,FALSE)</f>
        <v>1401</v>
      </c>
      <c r="F35" s="243" t="str">
        <f t="shared" si="0"/>
        <v/>
      </c>
      <c r="G35" s="243" t="str">
        <f t="shared" si="1"/>
        <v/>
      </c>
      <c r="H35" s="248">
        <f t="shared" si="2"/>
        <v>83609.928832863792</v>
      </c>
      <c r="K35" s="230" t="str">
        <f t="shared" si="3"/>
        <v/>
      </c>
    </row>
    <row r="36" spans="1:11" x14ac:dyDescent="0.25">
      <c r="A36" s="239">
        <v>2</v>
      </c>
      <c r="B36" s="229" t="s">
        <v>31</v>
      </c>
      <c r="C36" s="163">
        <f>VLOOKUP(B36,BLS!$B$7:$I$64,8,FALSE)</f>
        <v>1.2147053480148315</v>
      </c>
      <c r="D36" s="146">
        <f>C36*'AVG RAS salary'!$F$66</f>
        <v>80226.68376548661</v>
      </c>
      <c r="E36" s="240">
        <f>VLOOKUP(B36,'WF Need'!B37:F95,5,FALSE)</f>
        <v>172</v>
      </c>
      <c r="F36" s="243" t="str">
        <f t="shared" si="0"/>
        <v/>
      </c>
      <c r="G36" s="243" t="str">
        <f t="shared" si="1"/>
        <v/>
      </c>
      <c r="H36" s="248">
        <f t="shared" si="2"/>
        <v>80226.68376548661</v>
      </c>
      <c r="K36" s="230" t="str">
        <f t="shared" si="3"/>
        <v/>
      </c>
    </row>
    <row r="37" spans="1:11" x14ac:dyDescent="0.25">
      <c r="A37" s="239">
        <v>1</v>
      </c>
      <c r="B37" s="229" t="s">
        <v>15</v>
      </c>
      <c r="C37" s="163">
        <f>VLOOKUP(B37,BLS!$B$7:$I$64,8,FALSE)</f>
        <v>0.69876575469970703</v>
      </c>
      <c r="D37" s="146">
        <f>C37*'AVG RAS salary'!$F$66</f>
        <v>46150.829351383167</v>
      </c>
      <c r="E37" s="240">
        <f>VLOOKUP(B37,'WF Need'!B38:F96,5,FALSE)</f>
        <v>16</v>
      </c>
      <c r="F37" s="243" t="str">
        <f t="shared" si="0"/>
        <v>Yes</v>
      </c>
      <c r="G37" s="243" t="str">
        <f t="shared" si="1"/>
        <v>Yes</v>
      </c>
      <c r="H37" s="248">
        <f t="shared" si="2"/>
        <v>50019.866240924675</v>
      </c>
      <c r="K37" s="230">
        <f t="shared" si="3"/>
        <v>46150.829351383167</v>
      </c>
    </row>
    <row r="38" spans="1:11" x14ac:dyDescent="0.25">
      <c r="A38" s="239">
        <v>4</v>
      </c>
      <c r="B38" s="229" t="s">
        <v>56</v>
      </c>
      <c r="C38" s="163">
        <f>VLOOKUP(B38,BLS!$B$7:$I$64,8,FALSE)</f>
        <v>1.1449975967407227</v>
      </c>
      <c r="D38" s="146">
        <f>C38*'AVG RAS salary'!$F$66</f>
        <v>75622.751028538754</v>
      </c>
      <c r="E38" s="240">
        <f>VLOOKUP(B38,'WF Need'!B39:F97,5,FALSE)</f>
        <v>1078</v>
      </c>
      <c r="F38" s="243" t="str">
        <f t="shared" si="0"/>
        <v/>
      </c>
      <c r="G38" s="243" t="str">
        <f t="shared" si="1"/>
        <v/>
      </c>
      <c r="H38" s="248">
        <f t="shared" si="2"/>
        <v>75622.751028538754</v>
      </c>
      <c r="K38" s="230" t="str">
        <f t="shared" si="3"/>
        <v/>
      </c>
    </row>
    <row r="39" spans="1:11" x14ac:dyDescent="0.25">
      <c r="A39" s="239">
        <v>4</v>
      </c>
      <c r="B39" s="229" t="s">
        <v>57</v>
      </c>
      <c r="C39" s="163">
        <f>VLOOKUP(B39,BLS!$B$7:$I$64,8,FALSE)</f>
        <v>1.3512718677520752</v>
      </c>
      <c r="D39" s="146">
        <f>C39*'AVG RAS salary'!$F$66</f>
        <v>89246.384724092393</v>
      </c>
      <c r="E39" s="240">
        <f>VLOOKUP(B39,'WF Need'!B40:F98,5,FALSE)</f>
        <v>757</v>
      </c>
      <c r="F39" s="243" t="str">
        <f t="shared" si="0"/>
        <v/>
      </c>
      <c r="G39" s="243" t="str">
        <f t="shared" si="1"/>
        <v/>
      </c>
      <c r="H39" s="248">
        <f t="shared" si="2"/>
        <v>89246.384724092393</v>
      </c>
      <c r="K39" s="230" t="str">
        <f t="shared" si="3"/>
        <v/>
      </c>
    </row>
    <row r="40" spans="1:11" x14ac:dyDescent="0.25">
      <c r="A40" s="239">
        <v>1</v>
      </c>
      <c r="B40" s="229" t="s">
        <v>16</v>
      </c>
      <c r="C40" s="163">
        <f>VLOOKUP(B40,BLS!$B$7:$I$64,8,FALSE)</f>
        <v>1.0150957107543945</v>
      </c>
      <c r="D40" s="146">
        <f>C40*'AVG RAS salary'!$F$66</f>
        <v>67043.223866171975</v>
      </c>
      <c r="E40" s="240">
        <f>VLOOKUP(B40,'WF Need'!B41:F99,5,FALSE)</f>
        <v>32</v>
      </c>
      <c r="F40" s="243" t="str">
        <f t="shared" si="0"/>
        <v>Yes</v>
      </c>
      <c r="G40" s="243" t="str">
        <f t="shared" si="1"/>
        <v/>
      </c>
      <c r="H40" s="248">
        <f t="shared" si="2"/>
        <v>67043.223866171975</v>
      </c>
      <c r="K40" s="230">
        <f t="shared" si="3"/>
        <v>67043.223866171975</v>
      </c>
    </row>
    <row r="41" spans="1:11" x14ac:dyDescent="0.25">
      <c r="A41" s="239">
        <v>4</v>
      </c>
      <c r="B41" s="229" t="s">
        <v>58</v>
      </c>
      <c r="C41" s="163">
        <f>VLOOKUP(B41,BLS!$B$7:$I$64,8,FALSE)</f>
        <v>1.0527923107147217</v>
      </c>
      <c r="D41" s="146">
        <f>C41*'AVG RAS salary'!$F$66</f>
        <v>69532.941400546653</v>
      </c>
      <c r="E41" s="240">
        <f>VLOOKUP(B41,'WF Need'!B42:F100,5,FALSE)</f>
        <v>1233</v>
      </c>
      <c r="F41" s="243" t="str">
        <f t="shared" si="0"/>
        <v/>
      </c>
      <c r="G41" s="243" t="str">
        <f t="shared" si="1"/>
        <v/>
      </c>
      <c r="H41" s="248">
        <f t="shared" si="2"/>
        <v>69532.941400546653</v>
      </c>
      <c r="K41" s="230" t="str">
        <f t="shared" si="3"/>
        <v/>
      </c>
    </row>
    <row r="42" spans="1:11" x14ac:dyDescent="0.25">
      <c r="A42" s="239">
        <v>4</v>
      </c>
      <c r="B42" s="229" t="s">
        <v>59</v>
      </c>
      <c r="C42" s="163">
        <f>VLOOKUP(B42,BLS!$B$7:$I$64,8,FALSE)</f>
        <v>1.1690871715545654</v>
      </c>
      <c r="D42" s="146">
        <f>C42*'AVG RAS salary'!$F$66</f>
        <v>77213.776130876242</v>
      </c>
      <c r="E42" s="240">
        <f>VLOOKUP(B42,'WF Need'!B43:F101,5,FALSE)</f>
        <v>1250</v>
      </c>
      <c r="F42" s="243" t="str">
        <f t="shared" si="0"/>
        <v/>
      </c>
      <c r="G42" s="243" t="str">
        <f t="shared" si="1"/>
        <v/>
      </c>
      <c r="H42" s="248">
        <f t="shared" si="2"/>
        <v>77213.776130876242</v>
      </c>
      <c r="K42" s="230" t="str">
        <f t="shared" si="3"/>
        <v/>
      </c>
    </row>
    <row r="43" spans="1:11" x14ac:dyDescent="0.25">
      <c r="A43" s="239">
        <v>3</v>
      </c>
      <c r="B43" s="229" t="s">
        <v>60</v>
      </c>
      <c r="C43" s="163">
        <f>VLOOKUP(B43,BLS!$B$7:$I$64,8,FALSE)</f>
        <v>1.652641773223877</v>
      </c>
      <c r="D43" s="146">
        <f>C43*'AVG RAS salary'!$F$66</f>
        <v>109150.72460555771</v>
      </c>
      <c r="E43" s="240">
        <f>VLOOKUP(B43,'WF Need'!B44:F102,5,FALSE)</f>
        <v>330</v>
      </c>
      <c r="F43" s="243" t="str">
        <f t="shared" si="0"/>
        <v/>
      </c>
      <c r="G43" s="243" t="str">
        <f t="shared" si="1"/>
        <v/>
      </c>
      <c r="H43" s="248">
        <f t="shared" si="2"/>
        <v>109150.72460555771</v>
      </c>
      <c r="K43" s="230" t="str">
        <f t="shared" si="3"/>
        <v/>
      </c>
    </row>
    <row r="44" spans="1:11" x14ac:dyDescent="0.25">
      <c r="A44" s="239">
        <v>3</v>
      </c>
      <c r="B44" s="229" t="s">
        <v>45</v>
      </c>
      <c r="C44" s="163">
        <f>VLOOKUP(B44,BLS!$B$7:$I$64,8,FALSE)</f>
        <v>1.065003514289856</v>
      </c>
      <c r="D44" s="146">
        <f>C44*'AVG RAS salary'!$F$66</f>
        <v>70339.445108807515</v>
      </c>
      <c r="E44" s="240">
        <f>VLOOKUP(B44,'WF Need'!B45:F103,5,FALSE)</f>
        <v>409</v>
      </c>
      <c r="F44" s="243" t="str">
        <f t="shared" si="0"/>
        <v/>
      </c>
      <c r="G44" s="243" t="str">
        <f t="shared" si="1"/>
        <v/>
      </c>
      <c r="H44" s="248">
        <f t="shared" si="2"/>
        <v>70339.445108807515</v>
      </c>
      <c r="K44" s="230" t="str">
        <f t="shared" si="3"/>
        <v/>
      </c>
    </row>
    <row r="45" spans="1:11" x14ac:dyDescent="0.25">
      <c r="A45" s="239">
        <v>2</v>
      </c>
      <c r="B45" s="229" t="s">
        <v>32</v>
      </c>
      <c r="C45" s="163">
        <f>VLOOKUP(B45,BLS!$B$7:$I$64,8,FALSE)</f>
        <v>1.0581985712051392</v>
      </c>
      <c r="D45" s="146">
        <f>C45*'AVG RAS salary'!$F$66</f>
        <v>69890.004412928538</v>
      </c>
      <c r="E45" s="240">
        <f>VLOOKUP(B45,'WF Need'!B46:F104,5,FALSE)</f>
        <v>157</v>
      </c>
      <c r="F45" s="243" t="str">
        <f t="shared" si="0"/>
        <v/>
      </c>
      <c r="G45" s="243" t="str">
        <f t="shared" si="1"/>
        <v/>
      </c>
      <c r="H45" s="248">
        <f t="shared" si="2"/>
        <v>69890.004412928538</v>
      </c>
      <c r="K45" s="230" t="str">
        <f t="shared" si="3"/>
        <v/>
      </c>
    </row>
    <row r="46" spans="1:11" x14ac:dyDescent="0.25">
      <c r="A46" s="239">
        <v>3</v>
      </c>
      <c r="B46" s="229" t="s">
        <v>46</v>
      </c>
      <c r="C46" s="163">
        <f>VLOOKUP(B46,BLS!$B$7:$I$64,8,FALSE)</f>
        <v>1.4866783618927002</v>
      </c>
      <c r="D46" s="146">
        <f>C46*'AVG RAS salary'!$F$66</f>
        <v>98189.470389242924</v>
      </c>
      <c r="E46" s="240">
        <f>VLOOKUP(B46,'WF Need'!B47:F105,5,FALSE)</f>
        <v>274</v>
      </c>
      <c r="F46" s="243" t="str">
        <f t="shared" si="0"/>
        <v/>
      </c>
      <c r="G46" s="243" t="str">
        <f t="shared" si="1"/>
        <v/>
      </c>
      <c r="H46" s="248">
        <f t="shared" si="2"/>
        <v>98189.470389242924</v>
      </c>
      <c r="K46" s="230" t="str">
        <f t="shared" si="3"/>
        <v/>
      </c>
    </row>
    <row r="47" spans="1:11" x14ac:dyDescent="0.25">
      <c r="A47" s="239">
        <v>3</v>
      </c>
      <c r="B47" s="229" t="s">
        <v>47</v>
      </c>
      <c r="C47" s="163">
        <f>VLOOKUP(B47,BLS!$B$7:$I$64,8,FALSE)</f>
        <v>1.2240873575210571</v>
      </c>
      <c r="D47" s="146">
        <f>C47*'AVG RAS salary'!$F$66</f>
        <v>80846.32992985961</v>
      </c>
      <c r="E47" s="240">
        <f>VLOOKUP(B47,'WF Need'!B48:F106,5,FALSE)</f>
        <v>214</v>
      </c>
      <c r="F47" s="243" t="str">
        <f t="shared" si="0"/>
        <v/>
      </c>
      <c r="G47" s="243" t="str">
        <f t="shared" si="1"/>
        <v/>
      </c>
      <c r="H47" s="248">
        <f t="shared" si="2"/>
        <v>80846.32992985961</v>
      </c>
      <c r="K47" s="230" t="str">
        <f t="shared" si="3"/>
        <v/>
      </c>
    </row>
    <row r="48" spans="1:11" x14ac:dyDescent="0.25">
      <c r="A48" s="239">
        <v>4</v>
      </c>
      <c r="B48" s="229" t="s">
        <v>61</v>
      </c>
      <c r="C48" s="163">
        <f>VLOOKUP(B48,BLS!$B$7:$I$64,8,FALSE)</f>
        <v>1.467450737953186</v>
      </c>
      <c r="D48" s="146">
        <f>C48*'AVG RAS salary'!$F$66</f>
        <v>96919.558712408631</v>
      </c>
      <c r="E48" s="240">
        <f>VLOOKUP(B48,'WF Need'!B49:F107,5,FALSE)</f>
        <v>619</v>
      </c>
      <c r="F48" s="243" t="str">
        <f t="shared" si="0"/>
        <v/>
      </c>
      <c r="G48" s="243" t="str">
        <f t="shared" si="1"/>
        <v/>
      </c>
      <c r="H48" s="248">
        <f t="shared" si="2"/>
        <v>96919.558712408631</v>
      </c>
      <c r="K48" s="230" t="str">
        <f t="shared" si="3"/>
        <v/>
      </c>
    </row>
    <row r="49" spans="1:11" x14ac:dyDescent="0.25">
      <c r="A49" s="239">
        <v>2</v>
      </c>
      <c r="B49" s="229" t="s">
        <v>33</v>
      </c>
      <c r="C49" s="163">
        <f>VLOOKUP(B49,BLS!$B$7:$I$64,8,FALSE)</f>
        <v>1.1688700914382935</v>
      </c>
      <c r="D49" s="146">
        <f>C49*'AVG RAS salary'!$F$66</f>
        <v>77199.438812061941</v>
      </c>
      <c r="E49" s="240">
        <f>VLOOKUP(B49,'WF Need'!B50:F108,5,FALSE)</f>
        <v>132</v>
      </c>
      <c r="F49" s="243" t="str">
        <f t="shared" si="0"/>
        <v/>
      </c>
      <c r="G49" s="243" t="str">
        <f t="shared" si="1"/>
        <v/>
      </c>
      <c r="H49" s="248">
        <f t="shared" si="2"/>
        <v>77199.438812061941</v>
      </c>
      <c r="K49" s="230" t="str">
        <f t="shared" si="3"/>
        <v/>
      </c>
    </row>
    <row r="50" spans="1:11" x14ac:dyDescent="0.25">
      <c r="A50" s="239">
        <v>2</v>
      </c>
      <c r="B50" s="229" t="s">
        <v>34</v>
      </c>
      <c r="C50" s="163">
        <f>VLOOKUP(B50,BLS!$B$7:$I$64,8,FALSE)</f>
        <v>0.88328772783279419</v>
      </c>
      <c r="D50" s="146">
        <f>C50*'AVG RAS salary'!$F$66</f>
        <v>58337.806226495311</v>
      </c>
      <c r="E50" s="240">
        <f>VLOOKUP(B50,'WF Need'!B51:F109,5,FALSE)</f>
        <v>161</v>
      </c>
      <c r="F50" s="243" t="str">
        <f t="shared" si="0"/>
        <v/>
      </c>
      <c r="G50" s="243" t="str">
        <f t="shared" si="1"/>
        <v/>
      </c>
      <c r="H50" s="248">
        <f t="shared" si="2"/>
        <v>58337.806226495311</v>
      </c>
      <c r="K50" s="230" t="str">
        <f t="shared" si="3"/>
        <v/>
      </c>
    </row>
    <row r="51" spans="1:11" x14ac:dyDescent="0.25">
      <c r="A51" s="239">
        <v>1</v>
      </c>
      <c r="B51" s="229" t="s">
        <v>17</v>
      </c>
      <c r="C51" s="163">
        <f>VLOOKUP(B51,BLS!$B$7:$I$64,8,FALSE)</f>
        <v>0.62</v>
      </c>
      <c r="D51" s="146">
        <f>C51*'AVG RAS salary'!$F$66</f>
        <v>40948.649823507956</v>
      </c>
      <c r="E51" s="240">
        <f>VLOOKUP(B51,'WF Need'!B52:F110,5,FALSE)</f>
        <v>3</v>
      </c>
      <c r="F51" s="243" t="str">
        <f t="shared" si="0"/>
        <v>Yes</v>
      </c>
      <c r="G51" s="243" t="str">
        <f t="shared" si="1"/>
        <v>Yes</v>
      </c>
      <c r="H51" s="248">
        <f t="shared" si="2"/>
        <v>50019.866240924675</v>
      </c>
      <c r="K51" s="230">
        <f t="shared" si="3"/>
        <v>40948.649823507956</v>
      </c>
    </row>
    <row r="52" spans="1:11" x14ac:dyDescent="0.25">
      <c r="A52" s="239">
        <v>2</v>
      </c>
      <c r="B52" s="229" t="s">
        <v>35</v>
      </c>
      <c r="C52" s="163">
        <f>VLOOKUP(B52,BLS!$B$7:$I$64,8,FALSE)</f>
        <v>0.68195444345474243</v>
      </c>
      <c r="D52" s="146">
        <f>C52*'AVG RAS salary'!$F$66</f>
        <v>45040.505968731457</v>
      </c>
      <c r="E52" s="240">
        <f>VLOOKUP(B52,'WF Need'!B53:F111,5,FALSE)</f>
        <v>41</v>
      </c>
      <c r="F52" s="243" t="str">
        <f t="shared" si="0"/>
        <v>Yes</v>
      </c>
      <c r="G52" s="243" t="str">
        <f t="shared" si="1"/>
        <v>Yes</v>
      </c>
      <c r="H52" s="248">
        <f t="shared" si="2"/>
        <v>50019.866240924675</v>
      </c>
      <c r="K52" s="230">
        <f t="shared" si="3"/>
        <v>45040.505968731457</v>
      </c>
    </row>
    <row r="53" spans="1:11" x14ac:dyDescent="0.25">
      <c r="A53" s="239">
        <v>3</v>
      </c>
      <c r="B53" s="229" t="s">
        <v>48</v>
      </c>
      <c r="C53" s="163">
        <f>VLOOKUP(B53,BLS!$B$7:$I$64,8,FALSE)</f>
        <v>1.1996798515319824</v>
      </c>
      <c r="D53" s="146">
        <f>C53*'AVG RAS salary'!$F$66</f>
        <v>79234.30667855026</v>
      </c>
      <c r="E53" s="240">
        <f>VLOOKUP(B53,'WF Need'!B54:F112,5,FALSE)</f>
        <v>215</v>
      </c>
      <c r="F53" s="243" t="str">
        <f t="shared" si="0"/>
        <v/>
      </c>
      <c r="G53" s="243" t="str">
        <f t="shared" si="1"/>
        <v/>
      </c>
      <c r="H53" s="248">
        <f t="shared" si="2"/>
        <v>79234.30667855026</v>
      </c>
      <c r="K53" s="230" t="str">
        <f t="shared" si="3"/>
        <v/>
      </c>
    </row>
    <row r="54" spans="1:11" x14ac:dyDescent="0.25">
      <c r="A54" s="239">
        <v>3</v>
      </c>
      <c r="B54" s="229" t="s">
        <v>49</v>
      </c>
      <c r="C54" s="163">
        <f>VLOOKUP(B54,BLS!$B$7:$I$64,8,FALSE)</f>
        <v>1.1823205947875977</v>
      </c>
      <c r="D54" s="146">
        <f>C54*'AVG RAS salary'!$F$66</f>
        <v>78087.793572708033</v>
      </c>
      <c r="E54" s="240">
        <f>VLOOKUP(B54,'WF Need'!B55:F113,5,FALSE)</f>
        <v>214</v>
      </c>
      <c r="F54" s="243" t="str">
        <f t="shared" si="0"/>
        <v/>
      </c>
      <c r="G54" s="243" t="str">
        <f t="shared" si="1"/>
        <v/>
      </c>
      <c r="H54" s="248">
        <f t="shared" si="2"/>
        <v>78087.793572708033</v>
      </c>
      <c r="K54" s="230" t="str">
        <f t="shared" si="3"/>
        <v/>
      </c>
    </row>
    <row r="55" spans="1:11" x14ac:dyDescent="0.25">
      <c r="A55" s="239">
        <v>3</v>
      </c>
      <c r="B55" s="229" t="s">
        <v>50</v>
      </c>
      <c r="C55" s="163">
        <f>VLOOKUP(B55,BLS!$B$7:$I$64,8,FALSE)</f>
        <v>1.0260977745056152</v>
      </c>
      <c r="D55" s="146">
        <f>C55*'AVG RAS salary'!$F$66</f>
        <v>67769.868472437534</v>
      </c>
      <c r="E55" s="240">
        <f>VLOOKUP(B55,'WF Need'!B56:F114,5,FALSE)</f>
        <v>278</v>
      </c>
      <c r="F55" s="243" t="str">
        <f t="shared" si="0"/>
        <v/>
      </c>
      <c r="G55" s="243" t="str">
        <f t="shared" si="1"/>
        <v/>
      </c>
      <c r="H55" s="248">
        <f t="shared" si="2"/>
        <v>67769.868472437534</v>
      </c>
      <c r="K55" s="230" t="str">
        <f t="shared" si="3"/>
        <v/>
      </c>
    </row>
    <row r="56" spans="1:11" x14ac:dyDescent="0.25">
      <c r="A56" s="239">
        <v>2</v>
      </c>
      <c r="B56" s="229" t="s">
        <v>36</v>
      </c>
      <c r="C56" s="163">
        <f>VLOOKUP(B56,BLS!$B$7:$I$64,8,FALSE)</f>
        <v>0.97991257905960083</v>
      </c>
      <c r="D56" s="146">
        <f>C56*'AVG RAS salary'!$F$66</f>
        <v>64719.511383164761</v>
      </c>
      <c r="E56" s="240">
        <f>VLOOKUP(B56,'WF Need'!B57:F115,5,FALSE)</f>
        <v>71</v>
      </c>
      <c r="F56" s="243" t="str">
        <f t="shared" si="0"/>
        <v/>
      </c>
      <c r="G56" s="243" t="str">
        <f t="shared" si="1"/>
        <v/>
      </c>
      <c r="H56" s="248">
        <f t="shared" si="2"/>
        <v>64719.511383164761</v>
      </c>
      <c r="K56" s="230" t="str">
        <f t="shared" si="3"/>
        <v/>
      </c>
    </row>
    <row r="57" spans="1:11" x14ac:dyDescent="0.25">
      <c r="A57" s="239">
        <v>2</v>
      </c>
      <c r="B57" s="229" t="s">
        <v>37</v>
      </c>
      <c r="C57" s="163">
        <f>VLOOKUP(B57,BLS!$B$7:$I$64,8,FALSE)</f>
        <v>0.78709399700164795</v>
      </c>
      <c r="D57" s="146">
        <f>C57*'AVG RAS salary'!$F$66</f>
        <v>51984.574937751131</v>
      </c>
      <c r="E57" s="240">
        <f>VLOOKUP(B57,'WF Need'!B58:F116,5,FALSE)</f>
        <v>59</v>
      </c>
      <c r="F57" s="243" t="str">
        <f t="shared" si="0"/>
        <v/>
      </c>
      <c r="G57" s="243" t="str">
        <f t="shared" si="1"/>
        <v/>
      </c>
      <c r="H57" s="248">
        <f t="shared" si="2"/>
        <v>51984.574937751131</v>
      </c>
      <c r="K57" s="230" t="str">
        <f t="shared" si="3"/>
        <v/>
      </c>
    </row>
    <row r="58" spans="1:11" x14ac:dyDescent="0.25">
      <c r="A58" s="239">
        <v>1</v>
      </c>
      <c r="B58" s="229" t="s">
        <v>18</v>
      </c>
      <c r="C58" s="163">
        <f>VLOOKUP(B58,BLS!$B$7:$I$64,8,FALSE)</f>
        <v>0.69474673271179199</v>
      </c>
      <c r="D58" s="146">
        <f>C58*'AVG RAS salary'!$F$66</f>
        <v>45885.388183615243</v>
      </c>
      <c r="E58" s="240">
        <f>VLOOKUP(B58,'WF Need'!B59:F117,5,FALSE)</f>
        <v>17</v>
      </c>
      <c r="F58" s="243" t="str">
        <f t="shared" si="0"/>
        <v>Yes</v>
      </c>
      <c r="G58" s="243" t="str">
        <f t="shared" si="1"/>
        <v>Yes</v>
      </c>
      <c r="H58" s="248">
        <f t="shared" si="2"/>
        <v>50019.866240924675</v>
      </c>
      <c r="K58" s="230">
        <f t="shared" si="3"/>
        <v>45885.388183615243</v>
      </c>
    </row>
    <row r="59" spans="1:11" x14ac:dyDescent="0.25">
      <c r="A59" s="239">
        <v>3</v>
      </c>
      <c r="B59" s="229" t="s">
        <v>51</v>
      </c>
      <c r="C59" s="163">
        <f>VLOOKUP(B59,BLS!$B$7:$I$64,8,FALSE)</f>
        <v>0.95189553499221802</v>
      </c>
      <c r="D59" s="146">
        <f>C59*'AVG RAS salary'!$F$66</f>
        <v>62869.091824124356</v>
      </c>
      <c r="E59" s="240">
        <f>VLOOKUP(B59,'WF Need'!B60:F118,5,FALSE)</f>
        <v>268</v>
      </c>
      <c r="F59" s="243" t="str">
        <f t="shared" si="0"/>
        <v/>
      </c>
      <c r="G59" s="243" t="str">
        <f t="shared" si="1"/>
        <v/>
      </c>
      <c r="H59" s="248">
        <f t="shared" si="2"/>
        <v>62869.091824124356</v>
      </c>
      <c r="K59" s="230" t="str">
        <f t="shared" si="3"/>
        <v/>
      </c>
    </row>
    <row r="60" spans="1:11" x14ac:dyDescent="0.25">
      <c r="A60" s="239">
        <v>2</v>
      </c>
      <c r="B60" s="229" t="s">
        <v>38</v>
      </c>
      <c r="C60" s="163">
        <f>VLOOKUP(B60,BLS!$B$7:$I$64,8,FALSE)</f>
        <v>0.81933879852294922</v>
      </c>
      <c r="D60" s="146">
        <f>C60*'AVG RAS salary'!$F$66</f>
        <v>54114.221850854818</v>
      </c>
      <c r="E60" s="240">
        <f>VLOOKUP(B60,'WF Need'!B61:F119,5,FALSE)</f>
        <v>46</v>
      </c>
      <c r="F60" s="243" t="str">
        <f t="shared" si="0"/>
        <v>Yes</v>
      </c>
      <c r="G60" s="243" t="str">
        <f t="shared" si="1"/>
        <v/>
      </c>
      <c r="H60" s="248">
        <f t="shared" si="2"/>
        <v>54114.221850854818</v>
      </c>
      <c r="K60" s="230">
        <f t="shared" si="3"/>
        <v>54114.221850854818</v>
      </c>
    </row>
    <row r="61" spans="1:11" x14ac:dyDescent="0.25">
      <c r="A61" s="239">
        <v>3</v>
      </c>
      <c r="B61" s="229" t="s">
        <v>52</v>
      </c>
      <c r="C61" s="163">
        <f>VLOOKUP(B61,BLS!$B$7:$I$64,8,FALSE)</f>
        <v>1.248450756072998</v>
      </c>
      <c r="D61" s="146">
        <f>C61*'AVG RAS salary'!$F$66</f>
        <v>82455.440052140242</v>
      </c>
      <c r="E61" s="240">
        <f>VLOOKUP(B61,'WF Need'!B62:F120,5,FALSE)</f>
        <v>357</v>
      </c>
      <c r="F61" s="243" t="str">
        <f t="shared" si="0"/>
        <v/>
      </c>
      <c r="G61" s="243" t="str">
        <f t="shared" si="1"/>
        <v/>
      </c>
      <c r="H61" s="248">
        <f t="shared" si="2"/>
        <v>82455.440052140242</v>
      </c>
      <c r="K61" s="230" t="str">
        <f t="shared" si="3"/>
        <v/>
      </c>
    </row>
    <row r="62" spans="1:11" x14ac:dyDescent="0.25">
      <c r="A62" s="239">
        <v>2</v>
      </c>
      <c r="B62" s="229" t="s">
        <v>39</v>
      </c>
      <c r="C62" s="163">
        <f>VLOOKUP(B62,BLS!$B$7:$I$64,8,FALSE)</f>
        <v>1.0862729549407959</v>
      </c>
      <c r="D62" s="146">
        <f>C62*'AVG RAS salary'!$F$66</f>
        <v>71744.211039706264</v>
      </c>
      <c r="E62" s="240">
        <f>VLOOKUP(B62,'WF Need'!B63:F121,5,FALSE)</f>
        <v>128</v>
      </c>
      <c r="F62" s="243" t="str">
        <f t="shared" si="0"/>
        <v/>
      </c>
      <c r="G62" s="243" t="str">
        <f t="shared" si="1"/>
        <v/>
      </c>
      <c r="H62" s="248">
        <f t="shared" si="2"/>
        <v>71744.211039706264</v>
      </c>
      <c r="K62" s="230" t="str">
        <f t="shared" si="3"/>
        <v/>
      </c>
    </row>
    <row r="63" spans="1:11" x14ac:dyDescent="0.25">
      <c r="A63" s="239">
        <v>2</v>
      </c>
      <c r="B63" s="229" t="s">
        <v>40</v>
      </c>
      <c r="C63" s="163">
        <f>VLOOKUP(B63,BLS!$B$7:$I$64,8,FALSE)</f>
        <v>0.95020836591720581</v>
      </c>
      <c r="D63" s="146">
        <f>C63*'AVG RAS salary'!$F$66</f>
        <v>62757.660702115121</v>
      </c>
      <c r="E63" s="240">
        <f>VLOOKUP(B63,'WF Need'!B64:F122,5,FALSE)</f>
        <v>52</v>
      </c>
      <c r="F63" s="243" t="str">
        <f t="shared" si="0"/>
        <v/>
      </c>
      <c r="G63" s="243" t="str">
        <f t="shared" si="1"/>
        <v/>
      </c>
      <c r="H63" s="248">
        <f t="shared" si="2"/>
        <v>62757.660702115121</v>
      </c>
      <c r="K63" s="230" t="str">
        <f>IF(F63="Yes",D63,"")</f>
        <v/>
      </c>
    </row>
    <row r="64" spans="1:11" x14ac:dyDescent="0.25">
      <c r="C64" s="231"/>
      <c r="D64" s="293"/>
      <c r="E64" s="116"/>
      <c r="K64" s="233">
        <f>MEDIAN(K6:K63)</f>
        <v>50019.866240924675</v>
      </c>
    </row>
    <row r="65" spans="1:11" x14ac:dyDescent="0.25">
      <c r="B65" s="237" t="s">
        <v>235</v>
      </c>
      <c r="C65" s="265"/>
      <c r="E65" s="232"/>
      <c r="K65" s="233"/>
    </row>
    <row r="66" spans="1:11" ht="18.95" customHeight="1" x14ac:dyDescent="0.25">
      <c r="A66" s="234"/>
      <c r="B66" s="235"/>
      <c r="C66" s="235"/>
      <c r="D66" s="251" t="s">
        <v>77</v>
      </c>
      <c r="G66" s="246" t="s">
        <v>77</v>
      </c>
      <c r="H66" s="254">
        <f>K64</f>
        <v>50019.866240924675</v>
      </c>
    </row>
    <row r="67" spans="1:11" x14ac:dyDescent="0.25">
      <c r="A67" s="235"/>
      <c r="B67" s="236"/>
      <c r="C67" s="111"/>
      <c r="D67" s="165">
        <f>K64</f>
        <v>50019.866240924675</v>
      </c>
    </row>
  </sheetData>
  <sortState xmlns:xlrd2="http://schemas.microsoft.com/office/spreadsheetml/2017/richdata2" ref="A5:K62">
    <sortCondition ref="B5:B62"/>
  </sortState>
  <mergeCells count="2">
    <mergeCell ref="A4:A5"/>
    <mergeCell ref="B4:B5"/>
  </mergeCells>
  <conditionalFormatting sqref="F4:H4">
    <cfRule type="cellIs" dxfId="1" priority="1" operator="equal">
      <formula>"No"</formula>
    </cfRule>
  </conditionalFormatting>
  <printOptions horizontalCentered="1"/>
  <pageMargins left="0.25" right="0.25" top="0.5" bottom="0.25" header="0.3" footer="0.3"/>
  <pageSetup scale="6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4CCD0-69EA-400D-83FE-539BC9680C01}">
  <sheetPr>
    <tabColor rgb="FF92D050"/>
    <pageSetUpPr fitToPage="1"/>
  </sheetPr>
  <dimension ref="A1:G68"/>
  <sheetViews>
    <sheetView zoomScaleNormal="100" workbookViewId="0">
      <pane xSplit="1" ySplit="6" topLeftCell="B37" activePane="bottomRight" state="frozen"/>
      <selection pane="topRight" activeCell="B1" sqref="B1"/>
      <selection pane="bottomLeft" activeCell="A7" sqref="A7"/>
      <selection pane="bottomRight" activeCell="A2" sqref="A2"/>
    </sheetView>
  </sheetViews>
  <sheetFormatPr defaultColWidth="9.28515625" defaultRowHeight="15" x14ac:dyDescent="0.25"/>
  <cols>
    <col min="1" max="1" width="16.140625" style="166" customWidth="1"/>
    <col min="2" max="2" width="15.7109375" style="166" bestFit="1" customWidth="1"/>
    <col min="3" max="3" width="15.5703125" style="166" bestFit="1" customWidth="1"/>
    <col min="4" max="4" width="16.42578125" style="166" customWidth="1"/>
    <col min="5" max="5" width="16.42578125" style="166" bestFit="1" customWidth="1"/>
    <col min="6" max="6" width="15.42578125" style="166" customWidth="1"/>
    <col min="7" max="7" width="19.28515625" style="166" customWidth="1"/>
    <col min="8" max="16384" width="9.28515625" style="166"/>
  </cols>
  <sheetData>
    <row r="1" spans="1:7" ht="18.75" x14ac:dyDescent="0.25">
      <c r="A1" s="177" t="s">
        <v>127</v>
      </c>
    </row>
    <row r="2" spans="1:7" x14ac:dyDescent="0.25">
      <c r="A2" s="176" t="s">
        <v>233</v>
      </c>
    </row>
    <row r="4" spans="1:7" x14ac:dyDescent="0.25">
      <c r="B4" s="327" t="s">
        <v>232</v>
      </c>
      <c r="C4" s="328"/>
    </row>
    <row r="5" spans="1:7" ht="60" x14ac:dyDescent="0.25">
      <c r="A5" s="329" t="s">
        <v>63</v>
      </c>
      <c r="B5" s="223" t="s">
        <v>187</v>
      </c>
      <c r="C5" s="223" t="s">
        <v>186</v>
      </c>
      <c r="D5" s="257" t="s">
        <v>200</v>
      </c>
      <c r="E5" s="224" t="s">
        <v>201</v>
      </c>
      <c r="F5" s="257" t="s">
        <v>202</v>
      </c>
      <c r="G5" s="257" t="s">
        <v>203</v>
      </c>
    </row>
    <row r="6" spans="1:7" x14ac:dyDescent="0.25">
      <c r="A6" s="330"/>
      <c r="B6" s="83" t="s">
        <v>65</v>
      </c>
      <c r="C6" s="83" t="s">
        <v>1</v>
      </c>
      <c r="D6" s="83" t="s">
        <v>66</v>
      </c>
      <c r="E6" s="83" t="s">
        <v>2</v>
      </c>
      <c r="F6" s="83" t="s">
        <v>3</v>
      </c>
      <c r="G6" s="83" t="s">
        <v>83</v>
      </c>
    </row>
    <row r="7" spans="1:7" x14ac:dyDescent="0.25">
      <c r="A7" s="167" t="s">
        <v>53</v>
      </c>
      <c r="B7" s="168">
        <v>523.40000000000009</v>
      </c>
      <c r="C7" s="295">
        <v>43240715.519940019</v>
      </c>
      <c r="D7" s="295">
        <v>13268125.349360935</v>
      </c>
      <c r="E7" s="295">
        <v>9322932</v>
      </c>
      <c r="F7" s="169">
        <f>D7/C7</f>
        <v>0.30684333480195242</v>
      </c>
      <c r="G7" s="170">
        <f>E7/B7</f>
        <v>17812.250668704619</v>
      </c>
    </row>
    <row r="8" spans="1:7" x14ac:dyDescent="0.25">
      <c r="A8" s="167" t="s">
        <v>4</v>
      </c>
      <c r="B8" s="168">
        <v>2.2999999999999998</v>
      </c>
      <c r="C8" s="295">
        <v>147446.43599999999</v>
      </c>
      <c r="D8" s="295">
        <v>57107.479127159982</v>
      </c>
      <c r="E8" s="295">
        <v>68236.707999999999</v>
      </c>
      <c r="F8" s="169">
        <f t="shared" ref="F8:F65" si="0">D8/C8</f>
        <v>0.38730999999999993</v>
      </c>
      <c r="G8" s="170">
        <f t="shared" ref="G8:G64" si="1">E8/B8</f>
        <v>29668.133913043479</v>
      </c>
    </row>
    <row r="9" spans="1:7" x14ac:dyDescent="0.25">
      <c r="A9" s="167" t="s">
        <v>5</v>
      </c>
      <c r="B9" s="168">
        <v>18.61</v>
      </c>
      <c r="C9" s="295">
        <v>1122538</v>
      </c>
      <c r="D9" s="295">
        <v>468771.86879999994</v>
      </c>
      <c r="E9" s="295">
        <v>215536.39</v>
      </c>
      <c r="F9" s="169">
        <f t="shared" si="0"/>
        <v>0.41759999999999997</v>
      </c>
      <c r="G9" s="170">
        <f t="shared" si="1"/>
        <v>11581.751209027405</v>
      </c>
    </row>
    <row r="10" spans="1:7" x14ac:dyDescent="0.25">
      <c r="A10" s="167" t="s">
        <v>19</v>
      </c>
      <c r="B10" s="168">
        <v>84.86</v>
      </c>
      <c r="C10" s="295">
        <v>4390891.0599999996</v>
      </c>
      <c r="D10" s="295">
        <v>1373426.8146573997</v>
      </c>
      <c r="E10" s="295">
        <v>1048327.9600000003</v>
      </c>
      <c r="F10" s="169">
        <f t="shared" si="0"/>
        <v>0.31278999999999996</v>
      </c>
      <c r="G10" s="170">
        <f t="shared" si="1"/>
        <v>12353.617251944383</v>
      </c>
    </row>
    <row r="11" spans="1:7" x14ac:dyDescent="0.25">
      <c r="A11" s="167" t="s">
        <v>6</v>
      </c>
      <c r="B11" s="168">
        <v>19.049999999999994</v>
      </c>
      <c r="C11" s="295">
        <v>1204630.2574999998</v>
      </c>
      <c r="D11" s="295">
        <v>254172.17500199995</v>
      </c>
      <c r="E11" s="295">
        <v>304740.43599999999</v>
      </c>
      <c r="F11" s="169">
        <f t="shared" si="0"/>
        <v>0.21099600762933682</v>
      </c>
      <c r="G11" s="170">
        <f t="shared" si="1"/>
        <v>15996.8732808399</v>
      </c>
    </row>
    <row r="12" spans="1:7" x14ac:dyDescent="0.25">
      <c r="A12" s="167" t="s">
        <v>7</v>
      </c>
      <c r="B12" s="168">
        <v>9.8999999999999986</v>
      </c>
      <c r="C12" s="295">
        <v>438683.1</v>
      </c>
      <c r="D12" s="295">
        <v>236270.3308289999</v>
      </c>
      <c r="E12" s="295">
        <v>140561.68500000006</v>
      </c>
      <c r="F12" s="169">
        <f t="shared" si="0"/>
        <v>0.53858999999999979</v>
      </c>
      <c r="G12" s="170">
        <f t="shared" si="1"/>
        <v>14198.150000000007</v>
      </c>
    </row>
    <row r="13" spans="1:7" x14ac:dyDescent="0.25">
      <c r="A13" s="167" t="s">
        <v>41</v>
      </c>
      <c r="B13" s="168">
        <v>257.27499999999998</v>
      </c>
      <c r="C13" s="295">
        <v>20045050.355000004</v>
      </c>
      <c r="D13" s="295">
        <v>6990839.0980390003</v>
      </c>
      <c r="E13" s="295">
        <v>6010059.3140000058</v>
      </c>
      <c r="F13" s="169">
        <f t="shared" si="0"/>
        <v>0.34875637497688883</v>
      </c>
      <c r="G13" s="170">
        <f t="shared" si="1"/>
        <v>23360.448213001677</v>
      </c>
    </row>
    <row r="14" spans="1:7" x14ac:dyDescent="0.25">
      <c r="A14" s="167" t="s">
        <v>8</v>
      </c>
      <c r="B14" s="168">
        <v>17.75</v>
      </c>
      <c r="C14" s="295">
        <v>1003875.4869733969</v>
      </c>
      <c r="D14" s="295">
        <v>313590.62462074956</v>
      </c>
      <c r="E14" s="295">
        <v>454378.11249999993</v>
      </c>
      <c r="F14" s="169">
        <f t="shared" si="0"/>
        <v>0.31237999999999982</v>
      </c>
      <c r="G14" s="170">
        <f t="shared" si="1"/>
        <v>25598.766901408446</v>
      </c>
    </row>
    <row r="15" spans="1:7" x14ac:dyDescent="0.25">
      <c r="A15" s="167" t="s">
        <v>20</v>
      </c>
      <c r="B15" s="168">
        <v>58.760000000000005</v>
      </c>
      <c r="C15" s="295">
        <v>3508083.5911999987</v>
      </c>
      <c r="D15" s="295">
        <v>1159597.0310711609</v>
      </c>
      <c r="E15" s="295">
        <v>1107328.3491999989</v>
      </c>
      <c r="F15" s="169">
        <f t="shared" si="0"/>
        <v>0.3305500000000004</v>
      </c>
      <c r="G15" s="170">
        <f t="shared" si="1"/>
        <v>18844.934465622853</v>
      </c>
    </row>
    <row r="16" spans="1:7" x14ac:dyDescent="0.25">
      <c r="A16" s="167" t="s">
        <v>42</v>
      </c>
      <c r="B16" s="168">
        <v>419.29999999999995</v>
      </c>
      <c r="C16" s="295">
        <v>25008434.149999999</v>
      </c>
      <c r="D16" s="295">
        <v>18154673.547724977</v>
      </c>
      <c r="E16" s="295">
        <v>5405222.9981779847</v>
      </c>
      <c r="F16" s="169">
        <f t="shared" si="0"/>
        <v>0.72594203374884136</v>
      </c>
      <c r="G16" s="170">
        <f t="shared" si="1"/>
        <v>12891.063673212462</v>
      </c>
    </row>
    <row r="17" spans="1:7" x14ac:dyDescent="0.25">
      <c r="A17" s="167" t="s">
        <v>9</v>
      </c>
      <c r="B17" s="168">
        <v>13.149999999999999</v>
      </c>
      <c r="C17" s="295">
        <v>684523.9175000001</v>
      </c>
      <c r="D17" s="295">
        <v>125404.73739687503</v>
      </c>
      <c r="E17" s="295">
        <v>339641.83720000007</v>
      </c>
      <c r="F17" s="169">
        <f t="shared" si="0"/>
        <v>0.18319993529937545</v>
      </c>
      <c r="G17" s="170">
        <f t="shared" si="1"/>
        <v>25828.276593155901</v>
      </c>
    </row>
    <row r="18" spans="1:7" x14ac:dyDescent="0.25">
      <c r="A18" s="167" t="s">
        <v>21</v>
      </c>
      <c r="B18" s="168">
        <v>62.400000000000006</v>
      </c>
      <c r="C18" s="295">
        <v>3390935.930230001</v>
      </c>
      <c r="D18" s="295">
        <v>1152662.9155580804</v>
      </c>
      <c r="E18" s="295">
        <v>815595.96542305395</v>
      </c>
      <c r="F18" s="169">
        <f t="shared" si="0"/>
        <v>0.33992471083931608</v>
      </c>
      <c r="G18" s="170">
        <f t="shared" si="1"/>
        <v>13070.448163830992</v>
      </c>
    </row>
    <row r="19" spans="1:7" x14ac:dyDescent="0.25">
      <c r="A19" s="167" t="s">
        <v>22</v>
      </c>
      <c r="B19" s="168">
        <v>84</v>
      </c>
      <c r="C19" s="295">
        <v>4143854.1883981512</v>
      </c>
      <c r="D19" s="295">
        <v>1231902.1316330961</v>
      </c>
      <c r="E19" s="295">
        <v>422574.81450000015</v>
      </c>
      <c r="F19" s="169">
        <f t="shared" si="0"/>
        <v>0.29728414071183823</v>
      </c>
      <c r="G19" s="170">
        <f t="shared" si="1"/>
        <v>5030.65255357143</v>
      </c>
    </row>
    <row r="20" spans="1:7" x14ac:dyDescent="0.25">
      <c r="A20" s="167" t="s">
        <v>10</v>
      </c>
      <c r="B20" s="168">
        <v>10.869999999999992</v>
      </c>
      <c r="C20" s="295">
        <v>779217.63218000007</v>
      </c>
      <c r="D20" s="295">
        <v>155009.27018576994</v>
      </c>
      <c r="E20" s="295">
        <v>154843.8318999999</v>
      </c>
      <c r="F20" s="169">
        <f t="shared" si="0"/>
        <v>0.19892936682156936</v>
      </c>
      <c r="G20" s="170">
        <f t="shared" si="1"/>
        <v>14245.062732290709</v>
      </c>
    </row>
    <row r="21" spans="1:7" x14ac:dyDescent="0.25">
      <c r="A21" s="167" t="s">
        <v>43</v>
      </c>
      <c r="B21" s="168">
        <v>388</v>
      </c>
      <c r="C21" s="295">
        <v>22929419.978745203</v>
      </c>
      <c r="D21" s="295">
        <v>13400928.587331615</v>
      </c>
      <c r="E21" s="295">
        <v>6697577.8291262137</v>
      </c>
      <c r="F21" s="169">
        <f t="shared" si="0"/>
        <v>0.58444254585392141</v>
      </c>
      <c r="G21" s="170">
        <f t="shared" si="1"/>
        <v>17261.798528675808</v>
      </c>
    </row>
    <row r="22" spans="1:7" x14ac:dyDescent="0.25">
      <c r="A22" s="167" t="s">
        <v>23</v>
      </c>
      <c r="B22" s="168">
        <v>71</v>
      </c>
      <c r="C22" s="295">
        <v>3561773.9599999981</v>
      </c>
      <c r="D22" s="295">
        <v>947004.46048479946</v>
      </c>
      <c r="E22" s="295">
        <v>787426.95066666603</v>
      </c>
      <c r="F22" s="169">
        <f t="shared" si="0"/>
        <v>0.26588000000000001</v>
      </c>
      <c r="G22" s="170">
        <f t="shared" si="1"/>
        <v>11090.520431924873</v>
      </c>
    </row>
    <row r="23" spans="1:7" x14ac:dyDescent="0.25">
      <c r="A23" s="167" t="s">
        <v>24</v>
      </c>
      <c r="B23" s="168">
        <v>27.2</v>
      </c>
      <c r="C23" s="295">
        <v>1502687.03</v>
      </c>
      <c r="D23" s="295">
        <v>457943.87239250005</v>
      </c>
      <c r="E23" s="295">
        <v>294575.45600000006</v>
      </c>
      <c r="F23" s="169">
        <f t="shared" si="0"/>
        <v>0.30475000000000002</v>
      </c>
      <c r="G23" s="170">
        <f t="shared" si="1"/>
        <v>10829.980000000003</v>
      </c>
    </row>
    <row r="24" spans="1:7" x14ac:dyDescent="0.25">
      <c r="A24" s="167" t="s">
        <v>11</v>
      </c>
      <c r="B24" s="168">
        <v>15</v>
      </c>
      <c r="C24" s="295">
        <v>865930.91749999998</v>
      </c>
      <c r="D24" s="295">
        <v>150204.37694955</v>
      </c>
      <c r="E24" s="295">
        <v>167444.57999999999</v>
      </c>
      <c r="F24" s="169">
        <f t="shared" si="0"/>
        <v>0.17346</v>
      </c>
      <c r="G24" s="170">
        <f t="shared" si="1"/>
        <v>11162.972</v>
      </c>
    </row>
    <row r="25" spans="1:7" x14ac:dyDescent="0.25">
      <c r="A25" s="167" t="s">
        <v>54</v>
      </c>
      <c r="B25" s="168">
        <v>3301</v>
      </c>
      <c r="C25" s="295">
        <v>243994492.71999967</v>
      </c>
      <c r="D25" s="295">
        <v>67215947.876971498</v>
      </c>
      <c r="E25" s="295">
        <v>94246428.181458637</v>
      </c>
      <c r="F25" s="169">
        <f t="shared" si="0"/>
        <v>0.27548141405841642</v>
      </c>
      <c r="G25" s="170">
        <f t="shared" si="1"/>
        <v>28550.871911983835</v>
      </c>
    </row>
    <row r="26" spans="1:7" x14ac:dyDescent="0.25">
      <c r="A26" s="167" t="s">
        <v>25</v>
      </c>
      <c r="B26" s="168">
        <v>82</v>
      </c>
      <c r="C26" s="295">
        <v>4486577</v>
      </c>
      <c r="D26" s="295">
        <v>1753758.0835299995</v>
      </c>
      <c r="E26" s="295">
        <v>1009083.0000000001</v>
      </c>
      <c r="F26" s="169">
        <f t="shared" si="0"/>
        <v>0.3908899999999999</v>
      </c>
      <c r="G26" s="170">
        <f t="shared" si="1"/>
        <v>12305.89024390244</v>
      </c>
    </row>
    <row r="27" spans="1:7" x14ac:dyDescent="0.25">
      <c r="A27" s="167" t="s">
        <v>26</v>
      </c>
      <c r="B27" s="168">
        <v>74.900000000000006</v>
      </c>
      <c r="C27" s="295">
        <v>5599489.8740000017</v>
      </c>
      <c r="D27" s="295">
        <v>1399410.9630560002</v>
      </c>
      <c r="E27" s="295">
        <v>1308480.5299999984</v>
      </c>
      <c r="F27" s="169">
        <f t="shared" si="0"/>
        <v>0.24991758080568319</v>
      </c>
      <c r="G27" s="170">
        <f t="shared" si="1"/>
        <v>17469.699999999979</v>
      </c>
    </row>
    <row r="28" spans="1:7" x14ac:dyDescent="0.25">
      <c r="A28" s="167" t="s">
        <v>12</v>
      </c>
      <c r="B28" s="168">
        <v>7.7999999999999989</v>
      </c>
      <c r="C28" s="295">
        <v>385271.00600000005</v>
      </c>
      <c r="D28" s="295">
        <v>120362.51498445999</v>
      </c>
      <c r="E28" s="295">
        <v>96720.120000000024</v>
      </c>
      <c r="F28" s="169">
        <f t="shared" si="0"/>
        <v>0.31240999999999997</v>
      </c>
      <c r="G28" s="170">
        <f t="shared" si="1"/>
        <v>12400.01538461539</v>
      </c>
    </row>
    <row r="29" spans="1:7" x14ac:dyDescent="0.25">
      <c r="A29" s="167" t="s">
        <v>27</v>
      </c>
      <c r="B29" s="168">
        <v>45.631</v>
      </c>
      <c r="C29" s="295">
        <v>3066382.3</v>
      </c>
      <c r="D29" s="295">
        <v>1333835.5367515995</v>
      </c>
      <c r="E29" s="295">
        <v>690687.88299999991</v>
      </c>
      <c r="F29" s="169">
        <f t="shared" si="0"/>
        <v>0.43498670624064051</v>
      </c>
      <c r="G29" s="170">
        <f t="shared" si="1"/>
        <v>15136.374022046413</v>
      </c>
    </row>
    <row r="30" spans="1:7" x14ac:dyDescent="0.25">
      <c r="A30" s="167" t="s">
        <v>28</v>
      </c>
      <c r="B30" s="168">
        <v>98.75</v>
      </c>
      <c r="C30" s="295">
        <v>5406870.2000000002</v>
      </c>
      <c r="D30" s="295">
        <v>3005730.2615600005</v>
      </c>
      <c r="E30" s="295">
        <v>1262069.4449999989</v>
      </c>
      <c r="F30" s="169">
        <f t="shared" si="0"/>
        <v>0.55590945415334747</v>
      </c>
      <c r="G30" s="170">
        <f t="shared" si="1"/>
        <v>12780.450075949357</v>
      </c>
    </row>
    <row r="31" spans="1:7" x14ac:dyDescent="0.25">
      <c r="A31" s="167" t="s">
        <v>13</v>
      </c>
      <c r="B31" s="168">
        <v>8</v>
      </c>
      <c r="C31" s="295">
        <v>406196.71</v>
      </c>
      <c r="D31" s="295">
        <v>144971.60579900004</v>
      </c>
      <c r="E31" s="295">
        <v>138242.56000000003</v>
      </c>
      <c r="F31" s="169">
        <f t="shared" si="0"/>
        <v>0.35690000000000011</v>
      </c>
      <c r="G31" s="170">
        <f t="shared" si="1"/>
        <v>17280.320000000003</v>
      </c>
    </row>
    <row r="32" spans="1:7" x14ac:dyDescent="0.25">
      <c r="A32" s="167" t="s">
        <v>14</v>
      </c>
      <c r="B32" s="168">
        <v>8.2279999999999998</v>
      </c>
      <c r="C32" s="295">
        <v>447275.56200000003</v>
      </c>
      <c r="D32" s="295">
        <v>155192.93577849999</v>
      </c>
      <c r="E32" s="295">
        <v>161156.83799999999</v>
      </c>
      <c r="F32" s="169">
        <f t="shared" si="0"/>
        <v>0.34697387687481118</v>
      </c>
      <c r="G32" s="170">
        <f t="shared" si="1"/>
        <v>19586.39256198347</v>
      </c>
    </row>
    <row r="33" spans="1:7" x14ac:dyDescent="0.25">
      <c r="A33" s="167" t="s">
        <v>44</v>
      </c>
      <c r="B33" s="168">
        <v>144.60000000000002</v>
      </c>
      <c r="C33" s="295">
        <v>9471912.3200000003</v>
      </c>
      <c r="D33" s="295">
        <v>1675646.3086512003</v>
      </c>
      <c r="E33" s="295">
        <v>3185712.2040000027</v>
      </c>
      <c r="F33" s="169">
        <f t="shared" si="0"/>
        <v>0.17690686442621126</v>
      </c>
      <c r="G33" s="170">
        <f t="shared" si="1"/>
        <v>22031.204730290472</v>
      </c>
    </row>
    <row r="34" spans="1:7" x14ac:dyDescent="0.25">
      <c r="A34" s="167" t="s">
        <v>29</v>
      </c>
      <c r="B34" s="168">
        <v>45.9</v>
      </c>
      <c r="C34" s="295">
        <v>3325190.1</v>
      </c>
      <c r="D34" s="295">
        <v>844687.24524999992</v>
      </c>
      <c r="E34" s="295">
        <v>1014333.7999999999</v>
      </c>
      <c r="F34" s="169">
        <f t="shared" si="0"/>
        <v>0.25402675331253988</v>
      </c>
      <c r="G34" s="170">
        <f t="shared" si="1"/>
        <v>22098.775599128541</v>
      </c>
    </row>
    <row r="35" spans="1:7" x14ac:dyDescent="0.25">
      <c r="A35" s="167" t="s">
        <v>30</v>
      </c>
      <c r="B35" s="168">
        <v>35.359999999999992</v>
      </c>
      <c r="C35" s="295">
        <v>2040698.3852883675</v>
      </c>
      <c r="D35" s="295">
        <v>892160.72495763819</v>
      </c>
      <c r="E35" s="295">
        <v>451755.52259999991</v>
      </c>
      <c r="F35" s="169">
        <f t="shared" si="0"/>
        <v>0.43718402062221878</v>
      </c>
      <c r="G35" s="170">
        <f t="shared" si="1"/>
        <v>12775.891476244344</v>
      </c>
    </row>
    <row r="36" spans="1:7" x14ac:dyDescent="0.25">
      <c r="A36" s="167" t="s">
        <v>55</v>
      </c>
      <c r="B36" s="168">
        <v>1016.0875</v>
      </c>
      <c r="C36" s="295">
        <v>78741018.525000006</v>
      </c>
      <c r="D36" s="295">
        <v>30252982.278825004</v>
      </c>
      <c r="E36" s="295">
        <v>12871632.819931271</v>
      </c>
      <c r="F36" s="169">
        <f t="shared" si="0"/>
        <v>0.38420867351645682</v>
      </c>
      <c r="G36" s="170">
        <f t="shared" si="1"/>
        <v>12667.838960651785</v>
      </c>
    </row>
    <row r="37" spans="1:7" x14ac:dyDescent="0.25">
      <c r="A37" s="167" t="s">
        <v>31</v>
      </c>
      <c r="B37" s="168">
        <v>100.8</v>
      </c>
      <c r="C37" s="295">
        <v>7469397.4796000021</v>
      </c>
      <c r="D37" s="295">
        <v>2640999.693467441</v>
      </c>
      <c r="E37" s="295">
        <v>2283800.4799999995</v>
      </c>
      <c r="F37" s="169">
        <f t="shared" si="0"/>
        <v>0.35357600136830186</v>
      </c>
      <c r="G37" s="170">
        <f t="shared" si="1"/>
        <v>22656.75079365079</v>
      </c>
    </row>
    <row r="38" spans="1:7" x14ac:dyDescent="0.25">
      <c r="A38" s="167" t="s">
        <v>15</v>
      </c>
      <c r="B38" s="168">
        <v>7.2</v>
      </c>
      <c r="C38" s="295">
        <v>333417.94359999988</v>
      </c>
      <c r="D38" s="295">
        <v>102799.42037075199</v>
      </c>
      <c r="E38" s="295">
        <v>102772.79999999997</v>
      </c>
      <c r="F38" s="169">
        <f t="shared" si="0"/>
        <v>0.30832000000000009</v>
      </c>
      <c r="G38" s="170">
        <f t="shared" si="1"/>
        <v>14273.999999999996</v>
      </c>
    </row>
    <row r="39" spans="1:7" x14ac:dyDescent="0.25">
      <c r="A39" s="167" t="s">
        <v>56</v>
      </c>
      <c r="B39" s="168">
        <v>855.3</v>
      </c>
      <c r="C39" s="295">
        <v>61952222.357732482</v>
      </c>
      <c r="D39" s="295">
        <v>21888363.643026017</v>
      </c>
      <c r="E39" s="295">
        <v>13647461.875999993</v>
      </c>
      <c r="F39" s="169">
        <f t="shared" si="0"/>
        <v>0.35331038677895066</v>
      </c>
      <c r="G39" s="170">
        <f t="shared" si="1"/>
        <v>15956.344997077042</v>
      </c>
    </row>
    <row r="40" spans="1:7" x14ac:dyDescent="0.25">
      <c r="A40" s="167" t="s">
        <v>57</v>
      </c>
      <c r="B40" s="168">
        <v>557.74</v>
      </c>
      <c r="C40" s="295">
        <v>42320452.642401069</v>
      </c>
      <c r="D40" s="295">
        <v>17765789.154063031</v>
      </c>
      <c r="E40" s="295">
        <v>11015521.438624501</v>
      </c>
      <c r="F40" s="169">
        <f t="shared" si="0"/>
        <v>0.41979204013199517</v>
      </c>
      <c r="G40" s="170">
        <f t="shared" si="1"/>
        <v>19750.28048665059</v>
      </c>
    </row>
    <row r="41" spans="1:7" x14ac:dyDescent="0.25">
      <c r="A41" s="167" t="s">
        <v>16</v>
      </c>
      <c r="B41" s="168">
        <v>19.399999999999999</v>
      </c>
      <c r="C41" s="295">
        <v>1146119.1999999997</v>
      </c>
      <c r="D41" s="295">
        <v>348191.01296000008</v>
      </c>
      <c r="E41" s="295">
        <v>257416.08363999991</v>
      </c>
      <c r="F41" s="169">
        <f t="shared" si="0"/>
        <v>0.30380000000000013</v>
      </c>
      <c r="G41" s="170">
        <f t="shared" si="1"/>
        <v>13268.870290721647</v>
      </c>
    </row>
    <row r="42" spans="1:7" x14ac:dyDescent="0.25">
      <c r="A42" s="167" t="s">
        <v>58</v>
      </c>
      <c r="B42" s="168">
        <v>837.80000000000007</v>
      </c>
      <c r="C42" s="295">
        <v>57498233.321239449</v>
      </c>
      <c r="D42" s="295">
        <v>18392770.079362586</v>
      </c>
      <c r="E42" s="295">
        <v>10819653.696279997</v>
      </c>
      <c r="F42" s="169">
        <f t="shared" si="0"/>
        <v>0.31988409063984968</v>
      </c>
      <c r="G42" s="170">
        <f t="shared" si="1"/>
        <v>12914.363447457623</v>
      </c>
    </row>
    <row r="43" spans="1:7" x14ac:dyDescent="0.25">
      <c r="A43" s="167" t="s">
        <v>59</v>
      </c>
      <c r="B43" s="168">
        <v>898.36999999999989</v>
      </c>
      <c r="C43" s="295">
        <v>59209375.922857627</v>
      </c>
      <c r="D43" s="295">
        <v>33296927.631685097</v>
      </c>
      <c r="E43" s="295">
        <v>13482955.10580001</v>
      </c>
      <c r="F43" s="169">
        <f t="shared" si="0"/>
        <v>0.5623590371070083</v>
      </c>
      <c r="G43" s="170">
        <f t="shared" si="1"/>
        <v>15008.242824003486</v>
      </c>
    </row>
    <row r="44" spans="1:7" x14ac:dyDescent="0.25">
      <c r="A44" s="167" t="s">
        <v>60</v>
      </c>
      <c r="B44" s="168">
        <v>309</v>
      </c>
      <c r="C44" s="295">
        <v>29221695.289999995</v>
      </c>
      <c r="D44" s="295">
        <v>9722728.6286180113</v>
      </c>
      <c r="E44" s="295">
        <v>7776496.7000000002</v>
      </c>
      <c r="F44" s="169">
        <f t="shared" si="0"/>
        <v>0.33272294889561876</v>
      </c>
      <c r="G44" s="170">
        <f t="shared" si="1"/>
        <v>25166.655987055015</v>
      </c>
    </row>
    <row r="45" spans="1:7" x14ac:dyDescent="0.25">
      <c r="A45" s="167" t="s">
        <v>45</v>
      </c>
      <c r="B45" s="168">
        <v>287.245</v>
      </c>
      <c r="C45" s="295">
        <v>18826038.140899993</v>
      </c>
      <c r="D45" s="295">
        <v>9412806.1859500986</v>
      </c>
      <c r="E45" s="295">
        <v>4158434.9774000021</v>
      </c>
      <c r="F45" s="169">
        <f t="shared" si="0"/>
        <v>0.4999886920180282</v>
      </c>
      <c r="G45" s="170">
        <f t="shared" si="1"/>
        <v>14476.962096468178</v>
      </c>
    </row>
    <row r="46" spans="1:7" x14ac:dyDescent="0.25">
      <c r="A46" s="167" t="s">
        <v>32</v>
      </c>
      <c r="B46" s="168">
        <v>100.75</v>
      </c>
      <c r="C46" s="295">
        <v>7141451.75</v>
      </c>
      <c r="D46" s="295">
        <v>3009441.4946975005</v>
      </c>
      <c r="E46" s="295">
        <v>1153915.25</v>
      </c>
      <c r="F46" s="169">
        <f t="shared" si="0"/>
        <v>0.42140472274387353</v>
      </c>
      <c r="G46" s="170">
        <f t="shared" si="1"/>
        <v>11453.253101736973</v>
      </c>
    </row>
    <row r="47" spans="1:7" x14ac:dyDescent="0.25">
      <c r="A47" s="167" t="s">
        <v>46</v>
      </c>
      <c r="B47" s="168">
        <v>208</v>
      </c>
      <c r="C47" s="295">
        <v>16952637.762857132</v>
      </c>
      <c r="D47" s="295">
        <v>7039938.9088689592</v>
      </c>
      <c r="E47" s="295">
        <v>3536665.8454430392</v>
      </c>
      <c r="F47" s="169">
        <f t="shared" si="0"/>
        <v>0.41527100427364261</v>
      </c>
      <c r="G47" s="170">
        <f t="shared" si="1"/>
        <v>17003.20118001461</v>
      </c>
    </row>
    <row r="48" spans="1:7" x14ac:dyDescent="0.25">
      <c r="A48" s="167" t="s">
        <v>47</v>
      </c>
      <c r="B48" s="168">
        <v>172.65</v>
      </c>
      <c r="C48" s="295">
        <v>11849199.718279997</v>
      </c>
      <c r="D48" s="295">
        <v>5289320.6867547855</v>
      </c>
      <c r="E48" s="295">
        <v>1585128.5679999972</v>
      </c>
      <c r="F48" s="169">
        <f t="shared" si="0"/>
        <v>0.44638632249525212</v>
      </c>
      <c r="G48" s="170">
        <f t="shared" si="1"/>
        <v>9181.1674949319258</v>
      </c>
    </row>
    <row r="49" spans="1:7" x14ac:dyDescent="0.25">
      <c r="A49" s="167" t="s">
        <v>61</v>
      </c>
      <c r="B49" s="168">
        <v>456.19999999999993</v>
      </c>
      <c r="C49" s="295">
        <v>38216557.395851262</v>
      </c>
      <c r="D49" s="295">
        <v>13128793.654075362</v>
      </c>
      <c r="E49" s="295">
        <v>10016638.356800001</v>
      </c>
      <c r="F49" s="169">
        <f t="shared" si="0"/>
        <v>0.34353679527137643</v>
      </c>
      <c r="G49" s="170">
        <f t="shared" si="1"/>
        <v>21956.682062253403</v>
      </c>
    </row>
    <row r="50" spans="1:7" x14ac:dyDescent="0.25">
      <c r="A50" s="167" t="s">
        <v>33</v>
      </c>
      <c r="B50" s="168">
        <v>88.6</v>
      </c>
      <c r="C50" s="295">
        <v>6273410.5909000002</v>
      </c>
      <c r="D50" s="295">
        <v>2155161.3944223276</v>
      </c>
      <c r="E50" s="295">
        <v>1538069.0400000003</v>
      </c>
      <c r="F50" s="169">
        <f t="shared" si="0"/>
        <v>0.34353903083412596</v>
      </c>
      <c r="G50" s="170">
        <f t="shared" si="1"/>
        <v>17359.695711060951</v>
      </c>
    </row>
    <row r="51" spans="1:7" x14ac:dyDescent="0.25">
      <c r="A51" s="167" t="s">
        <v>34</v>
      </c>
      <c r="B51" s="168">
        <v>110.65</v>
      </c>
      <c r="C51" s="295">
        <v>6511799.8011431247</v>
      </c>
      <c r="D51" s="295">
        <v>1955590.235400704</v>
      </c>
      <c r="E51" s="295">
        <v>1169608.8500000001</v>
      </c>
      <c r="F51" s="169">
        <f t="shared" si="0"/>
        <v>0.30031485842937106</v>
      </c>
      <c r="G51" s="170">
        <f t="shared" si="1"/>
        <v>10570.346588341617</v>
      </c>
    </row>
    <row r="52" spans="1:7" x14ac:dyDescent="0.25">
      <c r="A52" s="167" t="s">
        <v>17</v>
      </c>
      <c r="B52" s="168">
        <v>2.58</v>
      </c>
      <c r="C52" s="295">
        <v>103918.93719999999</v>
      </c>
      <c r="D52" s="295">
        <v>40489.935501235988</v>
      </c>
      <c r="E52" s="295">
        <v>58988.191200000001</v>
      </c>
      <c r="F52" s="169">
        <f t="shared" si="0"/>
        <v>0.38962999999999992</v>
      </c>
      <c r="G52" s="170">
        <f t="shared" si="1"/>
        <v>22863.64</v>
      </c>
    </row>
    <row r="53" spans="1:7" x14ac:dyDescent="0.25">
      <c r="A53" s="167" t="s">
        <v>35</v>
      </c>
      <c r="B53" s="168">
        <v>19.230000000000004</v>
      </c>
      <c r="C53" s="295">
        <v>1056213.6699999997</v>
      </c>
      <c r="D53" s="295">
        <v>429498.72676880012</v>
      </c>
      <c r="E53" s="295">
        <v>403191.5781000001</v>
      </c>
      <c r="F53" s="169">
        <f t="shared" si="0"/>
        <v>0.40664000000000022</v>
      </c>
      <c r="G53" s="170">
        <f t="shared" si="1"/>
        <v>20966.800733229331</v>
      </c>
    </row>
    <row r="54" spans="1:7" x14ac:dyDescent="0.25">
      <c r="A54" s="167" t="s">
        <v>48</v>
      </c>
      <c r="B54" s="168">
        <v>179</v>
      </c>
      <c r="C54" s="295">
        <v>11311706.263510332</v>
      </c>
      <c r="D54" s="295">
        <v>5143033.3346659159</v>
      </c>
      <c r="E54" s="295">
        <v>2900102.8123333361</v>
      </c>
      <c r="F54" s="169">
        <f t="shared" si="0"/>
        <v>0.45466468230849305</v>
      </c>
      <c r="G54" s="170">
        <f t="shared" si="1"/>
        <v>16201.691689013051</v>
      </c>
    </row>
    <row r="55" spans="1:7" x14ac:dyDescent="0.25">
      <c r="A55" s="167" t="s">
        <v>49</v>
      </c>
      <c r="B55" s="168">
        <v>144.75</v>
      </c>
      <c r="C55" s="295">
        <v>10510464.864000004</v>
      </c>
      <c r="D55" s="295">
        <v>4879126.18165184</v>
      </c>
      <c r="E55" s="295">
        <v>3053627.445000004</v>
      </c>
      <c r="F55" s="169">
        <f t="shared" si="0"/>
        <v>0.46421602134493739</v>
      </c>
      <c r="G55" s="170">
        <f t="shared" si="1"/>
        <v>21095.871813471531</v>
      </c>
    </row>
    <row r="56" spans="1:7" x14ac:dyDescent="0.25">
      <c r="A56" s="167" t="s">
        <v>50</v>
      </c>
      <c r="B56" s="168">
        <v>197.5</v>
      </c>
      <c r="C56" s="295">
        <v>11850354.476480003</v>
      </c>
      <c r="D56" s="295">
        <v>4247478.6557189208</v>
      </c>
      <c r="E56" s="295">
        <v>3470465.9676177111</v>
      </c>
      <c r="F56" s="169">
        <f t="shared" si="0"/>
        <v>0.35842629552973337</v>
      </c>
      <c r="G56" s="170">
        <f t="shared" si="1"/>
        <v>17571.979582874486</v>
      </c>
    </row>
    <row r="57" spans="1:7" x14ac:dyDescent="0.25">
      <c r="A57" s="167" t="s">
        <v>36</v>
      </c>
      <c r="B57" s="168">
        <v>39</v>
      </c>
      <c r="C57" s="295">
        <v>2095528.7799999996</v>
      </c>
      <c r="D57" s="295">
        <v>807503.13294540008</v>
      </c>
      <c r="E57" s="295">
        <v>816672.39999999967</v>
      </c>
      <c r="F57" s="169">
        <f t="shared" si="0"/>
        <v>0.38534576124762182</v>
      </c>
      <c r="G57" s="170">
        <f t="shared" si="1"/>
        <v>20940.31794871794</v>
      </c>
    </row>
    <row r="58" spans="1:7" x14ac:dyDescent="0.25">
      <c r="A58" s="167" t="s">
        <v>37</v>
      </c>
      <c r="B58" s="168">
        <v>34.099999999999994</v>
      </c>
      <c r="C58" s="295">
        <v>1839259.11</v>
      </c>
      <c r="D58" s="295">
        <v>562318.62792960019</v>
      </c>
      <c r="E58" s="295">
        <v>667730.598</v>
      </c>
      <c r="F58" s="169">
        <f t="shared" si="0"/>
        <v>0.30573105489720814</v>
      </c>
      <c r="G58" s="170">
        <f t="shared" si="1"/>
        <v>19581.54246334311</v>
      </c>
    </row>
    <row r="59" spans="1:7" x14ac:dyDescent="0.25">
      <c r="A59" s="167" t="s">
        <v>18</v>
      </c>
      <c r="B59" s="168">
        <v>8.1199999999999992</v>
      </c>
      <c r="C59" s="295">
        <v>494785.17799999996</v>
      </c>
      <c r="D59" s="295">
        <v>208023.17566835997</v>
      </c>
      <c r="E59" s="295">
        <v>82631.700000000012</v>
      </c>
      <c r="F59" s="169">
        <f t="shared" si="0"/>
        <v>0.42043130012346486</v>
      </c>
      <c r="G59" s="170">
        <f t="shared" si="1"/>
        <v>10176.31773399015</v>
      </c>
    </row>
    <row r="60" spans="1:7" x14ac:dyDescent="0.25">
      <c r="A60" s="167" t="s">
        <v>51</v>
      </c>
      <c r="B60" s="168">
        <v>200.5</v>
      </c>
      <c r="C60" s="295">
        <v>11611720.956699999</v>
      </c>
      <c r="D60" s="295">
        <v>3415352.4082152885</v>
      </c>
      <c r="E60" s="295">
        <v>5267810.4499999965</v>
      </c>
      <c r="F60" s="169">
        <f t="shared" si="0"/>
        <v>0.29412973502817596</v>
      </c>
      <c r="G60" s="170">
        <f t="shared" si="1"/>
        <v>26273.368827930157</v>
      </c>
    </row>
    <row r="61" spans="1:7" x14ac:dyDescent="0.25">
      <c r="A61" s="167" t="s">
        <v>38</v>
      </c>
      <c r="B61" s="168">
        <v>30.5</v>
      </c>
      <c r="C61" s="295">
        <v>1499414</v>
      </c>
      <c r="D61" s="295">
        <v>440324.47255999997</v>
      </c>
      <c r="E61" s="295">
        <v>640622.79500000027</v>
      </c>
      <c r="F61" s="169">
        <f t="shared" si="0"/>
        <v>0.29366437325515166</v>
      </c>
      <c r="G61" s="170">
        <f t="shared" si="1"/>
        <v>21004.02606557378</v>
      </c>
    </row>
    <row r="62" spans="1:7" x14ac:dyDescent="0.25">
      <c r="A62" s="167" t="s">
        <v>52</v>
      </c>
      <c r="B62" s="168">
        <v>260.68129999999996</v>
      </c>
      <c r="C62" s="295">
        <v>19102207.943452008</v>
      </c>
      <c r="D62" s="295">
        <v>6258342.2962159924</v>
      </c>
      <c r="E62" s="295">
        <v>3560316.8664929988</v>
      </c>
      <c r="F62" s="169">
        <f t="shared" si="0"/>
        <v>0.32762402727174122</v>
      </c>
      <c r="G62" s="170">
        <f t="shared" si="1"/>
        <v>13657.737883357951</v>
      </c>
    </row>
    <row r="63" spans="1:7" x14ac:dyDescent="0.25">
      <c r="A63" s="167" t="s">
        <v>39</v>
      </c>
      <c r="B63" s="168">
        <v>77.000000000000014</v>
      </c>
      <c r="C63" s="295">
        <v>4906672.5</v>
      </c>
      <c r="D63" s="295">
        <v>1708827.9457670003</v>
      </c>
      <c r="E63" s="295">
        <v>1521108.6799999997</v>
      </c>
      <c r="F63" s="169">
        <f t="shared" si="0"/>
        <v>0.34826615099479336</v>
      </c>
      <c r="G63" s="170">
        <f t="shared" si="1"/>
        <v>19754.658181818173</v>
      </c>
    </row>
    <row r="64" spans="1:7" x14ac:dyDescent="0.25">
      <c r="A64" s="167" t="s">
        <v>40</v>
      </c>
      <c r="B64" s="168">
        <v>39.1</v>
      </c>
      <c r="C64" s="295">
        <v>2542887.7148000007</v>
      </c>
      <c r="D64" s="295">
        <v>265874.54256681207</v>
      </c>
      <c r="E64" s="295">
        <v>499370.07100000017</v>
      </c>
      <c r="F64" s="169">
        <f t="shared" si="0"/>
        <v>0.1045561473357164</v>
      </c>
      <c r="G64" s="170">
        <f t="shared" si="1"/>
        <v>12771.613069053712</v>
      </c>
    </row>
    <row r="65" spans="1:7" s="173" customFormat="1" ht="15.75" thickBot="1" x14ac:dyDescent="0.3">
      <c r="A65" s="171" t="s">
        <v>175</v>
      </c>
      <c r="B65" s="179">
        <f>SUM(B7:B64)</f>
        <v>13192.8478</v>
      </c>
      <c r="C65" s="82">
        <f t="shared" ref="C65:E65" si="2">SUM(C7:C64)</f>
        <v>939187209.92495906</v>
      </c>
      <c r="D65" s="82">
        <f t="shared" si="2"/>
        <v>343248136.26717746</v>
      </c>
      <c r="E65" s="82">
        <f t="shared" si="2"/>
        <v>255680486.74441534</v>
      </c>
      <c r="F65" s="180">
        <f t="shared" si="0"/>
        <v>0.36547360594338052</v>
      </c>
      <c r="G65" s="82">
        <f t="shared" ref="G65" si="3">(E65)/B65</f>
        <v>19380.234701442954</v>
      </c>
    </row>
    <row r="66" spans="1:7" ht="15.75" thickTop="1" x14ac:dyDescent="0.25">
      <c r="D66" s="174"/>
      <c r="G66" s="172"/>
    </row>
    <row r="67" spans="1:7" x14ac:dyDescent="0.25">
      <c r="B67" s="175"/>
      <c r="C67" s="175"/>
      <c r="D67" s="175"/>
    </row>
    <row r="68" spans="1:7" x14ac:dyDescent="0.25">
      <c r="D68" s="174"/>
    </row>
  </sheetData>
  <mergeCells count="2">
    <mergeCell ref="B4:C4"/>
    <mergeCell ref="A5:A6"/>
  </mergeCells>
  <printOptions horizontalCentered="1"/>
  <pageMargins left="0.25" right="0.25" top="0.5" bottom="0.5" header="0.3" footer="0.3"/>
  <pageSetup scale="7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92752-F3C8-4A0F-BD86-D9A5A44C2BE7}">
  <sheetPr>
    <tabColor rgb="FF92D050"/>
    <pageSetUpPr fitToPage="1"/>
  </sheetPr>
  <dimension ref="A1:G68"/>
  <sheetViews>
    <sheetView zoomScaleNormal="100" workbookViewId="0">
      <pane xSplit="1" ySplit="6" topLeftCell="B7" activePane="bottomRight" state="frozen"/>
      <selection pane="topRight" activeCell="B1" sqref="B1"/>
      <selection pane="bottomLeft" activeCell="A7" sqref="A7"/>
      <selection pane="bottomRight" activeCell="O25" sqref="O25"/>
    </sheetView>
  </sheetViews>
  <sheetFormatPr defaultColWidth="9.28515625" defaultRowHeight="15" x14ac:dyDescent="0.25"/>
  <cols>
    <col min="1" max="1" width="16.140625" style="166" customWidth="1"/>
    <col min="2" max="2" width="15.7109375" style="166" bestFit="1" customWidth="1"/>
    <col min="3" max="3" width="14.7109375" style="166" bestFit="1" customWidth="1"/>
    <col min="4" max="4" width="16.42578125" style="166" customWidth="1"/>
    <col min="5" max="5" width="16.28515625" style="166" bestFit="1" customWidth="1"/>
    <col min="6" max="6" width="15.42578125" style="166" customWidth="1"/>
    <col min="7" max="7" width="16.28515625" style="166" bestFit="1" customWidth="1"/>
    <col min="8" max="16384" width="9.28515625" style="166"/>
  </cols>
  <sheetData>
    <row r="1" spans="1:7" ht="18.75" x14ac:dyDescent="0.25">
      <c r="A1" s="177" t="s">
        <v>128</v>
      </c>
    </row>
    <row r="2" spans="1:7" x14ac:dyDescent="0.25">
      <c r="A2" s="176" t="s">
        <v>233</v>
      </c>
    </row>
    <row r="4" spans="1:7" x14ac:dyDescent="0.25">
      <c r="B4" s="327" t="s">
        <v>232</v>
      </c>
      <c r="C4" s="328"/>
    </row>
    <row r="5" spans="1:7" ht="60" x14ac:dyDescent="0.25">
      <c r="A5" s="329" t="s">
        <v>63</v>
      </c>
      <c r="B5" s="223" t="s">
        <v>187</v>
      </c>
      <c r="C5" s="223" t="s">
        <v>186</v>
      </c>
      <c r="D5" s="257" t="s">
        <v>200</v>
      </c>
      <c r="E5" s="224" t="s">
        <v>201</v>
      </c>
      <c r="F5" s="257" t="s">
        <v>202</v>
      </c>
      <c r="G5" s="257" t="s">
        <v>203</v>
      </c>
    </row>
    <row r="6" spans="1:7" x14ac:dyDescent="0.25">
      <c r="A6" s="330"/>
      <c r="B6" s="83" t="s">
        <v>65</v>
      </c>
      <c r="C6" s="83" t="s">
        <v>1</v>
      </c>
      <c r="D6" s="83" t="s">
        <v>66</v>
      </c>
      <c r="E6" s="83" t="s">
        <v>2</v>
      </c>
      <c r="F6" s="83" t="s">
        <v>3</v>
      </c>
      <c r="G6" s="83" t="s">
        <v>83</v>
      </c>
    </row>
    <row r="7" spans="1:7" x14ac:dyDescent="0.25">
      <c r="A7" s="167" t="s">
        <v>53</v>
      </c>
      <c r="B7" s="168">
        <v>89.5</v>
      </c>
      <c r="C7" s="295">
        <v>9832508.8360799961</v>
      </c>
      <c r="D7" s="295">
        <v>3005122.9100093199</v>
      </c>
      <c r="E7" s="295">
        <v>1719629</v>
      </c>
      <c r="F7" s="169">
        <f>D7/C7</f>
        <v>0.30563134598792752</v>
      </c>
      <c r="G7" s="170">
        <f>E7/B7</f>
        <v>19213.73184357542</v>
      </c>
    </row>
    <row r="8" spans="1:7" x14ac:dyDescent="0.25">
      <c r="A8" s="167" t="s">
        <v>4</v>
      </c>
      <c r="B8" s="168">
        <v>0.2</v>
      </c>
      <c r="C8" s="295">
        <v>11768.204</v>
      </c>
      <c r="D8" s="295">
        <v>4557.9430912400012</v>
      </c>
      <c r="E8" s="295">
        <v>6997.9120000000003</v>
      </c>
      <c r="F8" s="169">
        <f t="shared" ref="F8:F65" si="0">D8/C8</f>
        <v>0.3873100000000001</v>
      </c>
      <c r="G8" s="170">
        <f t="shared" ref="G8:G65" si="1">E8/B8</f>
        <v>34989.56</v>
      </c>
    </row>
    <row r="9" spans="1:7" x14ac:dyDescent="0.25">
      <c r="A9" s="167" t="s">
        <v>5</v>
      </c>
      <c r="B9" s="168">
        <v>3.6</v>
      </c>
      <c r="C9" s="295">
        <v>268934.59999999998</v>
      </c>
      <c r="D9" s="295">
        <v>112307.08896000001</v>
      </c>
      <c r="E9" s="295">
        <v>42186.964</v>
      </c>
      <c r="F9" s="169">
        <f t="shared" si="0"/>
        <v>0.41760000000000008</v>
      </c>
      <c r="G9" s="170">
        <f t="shared" si="1"/>
        <v>11718.601111111111</v>
      </c>
    </row>
    <row r="10" spans="1:7" x14ac:dyDescent="0.25">
      <c r="A10" s="167" t="s">
        <v>19</v>
      </c>
      <c r="B10" s="168">
        <v>18.72</v>
      </c>
      <c r="C10" s="295">
        <v>1364479.89</v>
      </c>
      <c r="D10" s="295">
        <v>426795.66479310003</v>
      </c>
      <c r="E10" s="295">
        <v>245119.02000000002</v>
      </c>
      <c r="F10" s="169">
        <f t="shared" si="0"/>
        <v>0.31279000000000007</v>
      </c>
      <c r="G10" s="170">
        <f t="shared" si="1"/>
        <v>13093.964743589746</v>
      </c>
    </row>
    <row r="11" spans="1:7" x14ac:dyDescent="0.25">
      <c r="A11" s="167" t="s">
        <v>6</v>
      </c>
      <c r="B11" s="168">
        <v>3</v>
      </c>
      <c r="C11" s="295">
        <v>266090.50750000001</v>
      </c>
      <c r="D11" s="295">
        <v>56836.932402000006</v>
      </c>
      <c r="E11" s="295">
        <v>55135.08</v>
      </c>
      <c r="F11" s="169">
        <f t="shared" si="0"/>
        <v>0.21360000000000001</v>
      </c>
      <c r="G11" s="170">
        <f t="shared" si="1"/>
        <v>18378.36</v>
      </c>
    </row>
    <row r="12" spans="1:7" x14ac:dyDescent="0.25">
      <c r="A12" s="167" t="s">
        <v>7</v>
      </c>
      <c r="B12" s="168">
        <v>1.8</v>
      </c>
      <c r="C12" s="295">
        <v>120681.60000000001</v>
      </c>
      <c r="D12" s="295">
        <v>64997.902944000009</v>
      </c>
      <c r="E12" s="295">
        <v>25556.67</v>
      </c>
      <c r="F12" s="169">
        <f t="shared" si="0"/>
        <v>0.53859000000000001</v>
      </c>
      <c r="G12" s="170">
        <f t="shared" si="1"/>
        <v>14198.149999999998</v>
      </c>
    </row>
    <row r="13" spans="1:7" x14ac:dyDescent="0.25">
      <c r="A13" s="167" t="s">
        <v>41</v>
      </c>
      <c r="B13" s="168">
        <v>42.239999999999995</v>
      </c>
      <c r="C13" s="295">
        <v>3724113.75</v>
      </c>
      <c r="D13" s="295">
        <v>1276485.6465951998</v>
      </c>
      <c r="E13" s="295">
        <v>1084499.6669999992</v>
      </c>
      <c r="F13" s="169">
        <f t="shared" si="0"/>
        <v>0.34276226030829476</v>
      </c>
      <c r="G13" s="170">
        <f t="shared" si="1"/>
        <v>25674.708025568165</v>
      </c>
    </row>
    <row r="14" spans="1:7" x14ac:dyDescent="0.25">
      <c r="A14" s="167" t="s">
        <v>8</v>
      </c>
      <c r="B14" s="168">
        <v>2.625</v>
      </c>
      <c r="C14" s="295">
        <v>259326.45374999999</v>
      </c>
      <c r="D14" s="295">
        <v>81008.397622424978</v>
      </c>
      <c r="E14" s="295">
        <v>66739.128750000003</v>
      </c>
      <c r="F14" s="169">
        <f t="shared" si="0"/>
        <v>0.31237999999999994</v>
      </c>
      <c r="G14" s="170">
        <f t="shared" si="1"/>
        <v>25424.43</v>
      </c>
    </row>
    <row r="15" spans="1:7" x14ac:dyDescent="0.25">
      <c r="A15" s="167" t="s">
        <v>20</v>
      </c>
      <c r="B15" s="168">
        <v>9</v>
      </c>
      <c r="C15" s="295">
        <v>803616.03428571427</v>
      </c>
      <c r="D15" s="295">
        <v>265635.28013314289</v>
      </c>
      <c r="E15" s="295">
        <v>152634.80999999997</v>
      </c>
      <c r="F15" s="169">
        <f t="shared" si="0"/>
        <v>0.33055000000000007</v>
      </c>
      <c r="G15" s="170">
        <f t="shared" si="1"/>
        <v>16959.423333333329</v>
      </c>
    </row>
    <row r="16" spans="1:7" x14ac:dyDescent="0.25">
      <c r="A16" s="167" t="s">
        <v>42</v>
      </c>
      <c r="B16" s="168">
        <v>52.9</v>
      </c>
      <c r="C16" s="295">
        <v>4505199.5</v>
      </c>
      <c r="D16" s="295">
        <v>3261336.6713</v>
      </c>
      <c r="E16" s="295">
        <v>664600.5352339996</v>
      </c>
      <c r="F16" s="169">
        <f t="shared" si="0"/>
        <v>0.72390505044227227</v>
      </c>
      <c r="G16" s="170">
        <f t="shared" si="1"/>
        <v>12563.337149981089</v>
      </c>
    </row>
    <row r="17" spans="1:7" x14ac:dyDescent="0.25">
      <c r="A17" s="167" t="s">
        <v>9</v>
      </c>
      <c r="B17" s="168">
        <v>3.4999999999999996</v>
      </c>
      <c r="C17" s="295">
        <v>227337.40410000001</v>
      </c>
      <c r="D17" s="295">
        <v>41528.811927124989</v>
      </c>
      <c r="E17" s="295">
        <v>97888.102800000008</v>
      </c>
      <c r="F17" s="169">
        <f t="shared" si="0"/>
        <v>0.18267478724643793</v>
      </c>
      <c r="G17" s="170">
        <f t="shared" si="1"/>
        <v>27968.029371428576</v>
      </c>
    </row>
    <row r="18" spans="1:7" x14ac:dyDescent="0.25">
      <c r="A18" s="167" t="s">
        <v>21</v>
      </c>
      <c r="B18" s="168">
        <v>12</v>
      </c>
      <c r="C18" s="295">
        <v>758694.01905</v>
      </c>
      <c r="D18" s="295">
        <v>267643.41553496383</v>
      </c>
      <c r="E18" s="295">
        <v>141050.37228726616</v>
      </c>
      <c r="F18" s="169">
        <f t="shared" si="0"/>
        <v>0.35276858498251246</v>
      </c>
      <c r="G18" s="170">
        <f t="shared" si="1"/>
        <v>11754.197690605513</v>
      </c>
    </row>
    <row r="19" spans="1:7" x14ac:dyDescent="0.25">
      <c r="A19" s="167" t="s">
        <v>22</v>
      </c>
      <c r="B19" s="168">
        <v>15.45</v>
      </c>
      <c r="C19" s="295">
        <v>1081013.0313524706</v>
      </c>
      <c r="D19" s="295">
        <v>325926.67822472076</v>
      </c>
      <c r="E19" s="295">
        <v>102622.31949999998</v>
      </c>
      <c r="F19" s="169">
        <f t="shared" si="0"/>
        <v>0.30150115564929802</v>
      </c>
      <c r="G19" s="170">
        <f t="shared" si="1"/>
        <v>6642.2213268608402</v>
      </c>
    </row>
    <row r="20" spans="1:7" x14ac:dyDescent="0.25">
      <c r="A20" s="167" t="s">
        <v>10</v>
      </c>
      <c r="B20" s="168">
        <v>2.1</v>
      </c>
      <c r="C20" s="295">
        <v>136856.79742800002</v>
      </c>
      <c r="D20" s="295">
        <v>25553.984512601994</v>
      </c>
      <c r="E20" s="295">
        <v>29742.3616</v>
      </c>
      <c r="F20" s="169">
        <f t="shared" si="0"/>
        <v>0.18672060864237214</v>
      </c>
      <c r="G20" s="170">
        <f t="shared" si="1"/>
        <v>14163.029333333332</v>
      </c>
    </row>
    <row r="21" spans="1:7" x14ac:dyDescent="0.25">
      <c r="A21" s="167" t="s">
        <v>43</v>
      </c>
      <c r="B21" s="168">
        <v>77</v>
      </c>
      <c r="C21" s="295">
        <v>5481927.0363054797</v>
      </c>
      <c r="D21" s="295">
        <v>3222188.6893361127</v>
      </c>
      <c r="E21" s="295">
        <v>1364555.4815533985</v>
      </c>
      <c r="F21" s="169">
        <f t="shared" si="0"/>
        <v>0.58778394312735915</v>
      </c>
      <c r="G21" s="170">
        <f t="shared" si="1"/>
        <v>17721.499760433748</v>
      </c>
    </row>
    <row r="22" spans="1:7" x14ac:dyDescent="0.25">
      <c r="A22" s="167" t="s">
        <v>23</v>
      </c>
      <c r="B22" s="168">
        <v>14</v>
      </c>
      <c r="C22" s="295">
        <v>885187.2</v>
      </c>
      <c r="D22" s="295">
        <v>235353.57273599997</v>
      </c>
      <c r="E22" s="295">
        <v>168511.80066666668</v>
      </c>
      <c r="F22" s="169">
        <f t="shared" si="0"/>
        <v>0.26588000000000001</v>
      </c>
      <c r="G22" s="170">
        <f t="shared" si="1"/>
        <v>12036.557190476191</v>
      </c>
    </row>
    <row r="23" spans="1:7" x14ac:dyDescent="0.25">
      <c r="A23" s="167" t="s">
        <v>24</v>
      </c>
      <c r="B23" s="168">
        <v>3</v>
      </c>
      <c r="C23" s="295">
        <v>222612.62</v>
      </c>
      <c r="D23" s="295">
        <v>67841.195944999999</v>
      </c>
      <c r="E23" s="295">
        <v>32489.939999999995</v>
      </c>
      <c r="F23" s="169">
        <f t="shared" si="0"/>
        <v>0.30475000000000002</v>
      </c>
      <c r="G23" s="170">
        <f t="shared" si="1"/>
        <v>10829.979999999998</v>
      </c>
    </row>
    <row r="24" spans="1:7" x14ac:dyDescent="0.25">
      <c r="A24" s="167" t="s">
        <v>11</v>
      </c>
      <c r="B24" s="168">
        <v>3</v>
      </c>
      <c r="C24" s="295">
        <v>259657.16000000003</v>
      </c>
      <c r="D24" s="295">
        <v>45040.130973599997</v>
      </c>
      <c r="E24" s="295">
        <v>22904</v>
      </c>
      <c r="F24" s="169">
        <f t="shared" si="0"/>
        <v>0.17345999999999998</v>
      </c>
      <c r="G24" s="170">
        <f t="shared" si="1"/>
        <v>7634.666666666667</v>
      </c>
    </row>
    <row r="25" spans="1:7" x14ac:dyDescent="0.25">
      <c r="A25" s="167" t="s">
        <v>54</v>
      </c>
      <c r="B25" s="168">
        <v>709.25</v>
      </c>
      <c r="C25" s="295">
        <v>65541883.460000031</v>
      </c>
      <c r="D25" s="295">
        <v>24981186.784051541</v>
      </c>
      <c r="E25" s="295">
        <v>16749726.848697308</v>
      </c>
      <c r="F25" s="169">
        <f t="shared" si="0"/>
        <v>0.38114844226741618</v>
      </c>
      <c r="G25" s="170">
        <f t="shared" si="1"/>
        <v>23616.111171938399</v>
      </c>
    </row>
    <row r="26" spans="1:7" x14ac:dyDescent="0.25">
      <c r="A26" s="167" t="s">
        <v>25</v>
      </c>
      <c r="B26" s="168">
        <v>13</v>
      </c>
      <c r="C26" s="295">
        <v>861654</v>
      </c>
      <c r="D26" s="295">
        <v>336811.93205999996</v>
      </c>
      <c r="E26" s="295">
        <v>160949</v>
      </c>
      <c r="F26" s="169">
        <f t="shared" si="0"/>
        <v>0.39088999999999996</v>
      </c>
      <c r="G26" s="170">
        <f t="shared" si="1"/>
        <v>12380.692307692309</v>
      </c>
    </row>
    <row r="27" spans="1:7" x14ac:dyDescent="0.25">
      <c r="A27" s="167" t="s">
        <v>26</v>
      </c>
      <c r="B27" s="168">
        <v>20</v>
      </c>
      <c r="C27" s="295">
        <v>1859437.9100000004</v>
      </c>
      <c r="D27" s="295">
        <v>471738.11954499997</v>
      </c>
      <c r="E27" s="295">
        <v>349394.00000000012</v>
      </c>
      <c r="F27" s="169">
        <f t="shared" si="0"/>
        <v>0.25369931257613215</v>
      </c>
      <c r="G27" s="170">
        <f t="shared" si="1"/>
        <v>17469.700000000004</v>
      </c>
    </row>
    <row r="28" spans="1:7" x14ac:dyDescent="0.25">
      <c r="A28" s="167" t="s">
        <v>12</v>
      </c>
      <c r="B28" s="168">
        <v>2.8000000000000003</v>
      </c>
      <c r="C28" s="295">
        <v>201867.62</v>
      </c>
      <c r="D28" s="295">
        <v>63065.463164200009</v>
      </c>
      <c r="E28" s="295">
        <v>42898.095999999998</v>
      </c>
      <c r="F28" s="169">
        <f t="shared" si="0"/>
        <v>0.31241000000000008</v>
      </c>
      <c r="G28" s="170">
        <f t="shared" si="1"/>
        <v>15320.748571428569</v>
      </c>
    </row>
    <row r="29" spans="1:7" x14ac:dyDescent="0.25">
      <c r="A29" s="167" t="s">
        <v>27</v>
      </c>
      <c r="B29" s="168">
        <v>9.1900000000000013</v>
      </c>
      <c r="C29" s="295">
        <v>715206.46</v>
      </c>
      <c r="D29" s="295">
        <v>309325.32307351998</v>
      </c>
      <c r="E29" s="295">
        <v>135895.21100000001</v>
      </c>
      <c r="F29" s="169">
        <f t="shared" si="0"/>
        <v>0.43249794342394499</v>
      </c>
      <c r="G29" s="170">
        <f t="shared" si="1"/>
        <v>14787.291730141456</v>
      </c>
    </row>
    <row r="30" spans="1:7" x14ac:dyDescent="0.25">
      <c r="A30" s="167" t="s">
        <v>28</v>
      </c>
      <c r="B30" s="168">
        <v>32.75</v>
      </c>
      <c r="C30" s="295">
        <v>2083621.2</v>
      </c>
      <c r="D30" s="295">
        <v>1173256.9984599997</v>
      </c>
      <c r="E30" s="295">
        <v>422732.72500000021</v>
      </c>
      <c r="F30" s="169">
        <f t="shared" si="0"/>
        <v>0.56308555435124186</v>
      </c>
      <c r="G30" s="170">
        <f t="shared" si="1"/>
        <v>12907.869465648861</v>
      </c>
    </row>
    <row r="31" spans="1:7" x14ac:dyDescent="0.25">
      <c r="A31" s="167" t="s">
        <v>13</v>
      </c>
      <c r="B31" s="168">
        <v>2</v>
      </c>
      <c r="C31" s="295">
        <v>137553.12</v>
      </c>
      <c r="D31" s="295">
        <v>49092.70852800001</v>
      </c>
      <c r="E31" s="295">
        <v>34560.639999999999</v>
      </c>
      <c r="F31" s="169">
        <f t="shared" si="0"/>
        <v>0.35690000000000011</v>
      </c>
      <c r="G31" s="170">
        <f t="shared" si="1"/>
        <v>17280.32</v>
      </c>
    </row>
    <row r="32" spans="1:7" x14ac:dyDescent="0.25">
      <c r="A32" s="167" t="s">
        <v>14</v>
      </c>
      <c r="B32" s="168">
        <v>4</v>
      </c>
      <c r="C32" s="295">
        <v>316170.59999999998</v>
      </c>
      <c r="D32" s="295">
        <v>105958.461558</v>
      </c>
      <c r="E32" s="295">
        <v>95416.419999999984</v>
      </c>
      <c r="F32" s="169">
        <f t="shared" si="0"/>
        <v>0.33513065907456291</v>
      </c>
      <c r="G32" s="170">
        <f t="shared" si="1"/>
        <v>23854.104999999996</v>
      </c>
    </row>
    <row r="33" spans="1:7" x14ac:dyDescent="0.25">
      <c r="A33" s="167" t="s">
        <v>44</v>
      </c>
      <c r="B33" s="168">
        <v>36</v>
      </c>
      <c r="C33" s="295">
        <v>3481150.4</v>
      </c>
      <c r="D33" s="295">
        <v>604273.99862900004</v>
      </c>
      <c r="E33" s="295">
        <v>869015.79999999993</v>
      </c>
      <c r="F33" s="169">
        <f t="shared" si="0"/>
        <v>0.17358457095935872</v>
      </c>
      <c r="G33" s="170">
        <f t="shared" si="1"/>
        <v>24139.327777777777</v>
      </c>
    </row>
    <row r="34" spans="1:7" x14ac:dyDescent="0.25">
      <c r="A34" s="167" t="s">
        <v>29</v>
      </c>
      <c r="B34" s="168">
        <v>10</v>
      </c>
      <c r="C34" s="295">
        <v>885263</v>
      </c>
      <c r="D34" s="295">
        <v>232381.53749999998</v>
      </c>
      <c r="E34" s="295">
        <v>237152</v>
      </c>
      <c r="F34" s="169">
        <f t="shared" si="0"/>
        <v>0.26249999999999996</v>
      </c>
      <c r="G34" s="170">
        <f t="shared" si="1"/>
        <v>23715.200000000001</v>
      </c>
    </row>
    <row r="35" spans="1:7" x14ac:dyDescent="0.25">
      <c r="A35" s="167" t="s">
        <v>30</v>
      </c>
      <c r="B35" s="168">
        <v>7.1400000000000006</v>
      </c>
      <c r="C35" s="295">
        <v>606032.4622847198</v>
      </c>
      <c r="D35" s="295">
        <v>277811.34103593841</v>
      </c>
      <c r="E35" s="295">
        <v>104569.96260000001</v>
      </c>
      <c r="F35" s="169">
        <f t="shared" si="0"/>
        <v>0.45841000000000004</v>
      </c>
      <c r="G35" s="170">
        <f t="shared" si="1"/>
        <v>14645.653025210086</v>
      </c>
    </row>
    <row r="36" spans="1:7" x14ac:dyDescent="0.25">
      <c r="A36" s="167" t="s">
        <v>55</v>
      </c>
      <c r="B36" s="168">
        <v>191.85</v>
      </c>
      <c r="C36" s="295">
        <v>15340916.950000001</v>
      </c>
      <c r="D36" s="295">
        <v>5958790.7342249993</v>
      </c>
      <c r="E36" s="295">
        <v>2542388.7172500007</v>
      </c>
      <c r="F36" s="169">
        <f t="shared" si="0"/>
        <v>0.38842467850169798</v>
      </c>
      <c r="G36" s="170">
        <f t="shared" si="1"/>
        <v>13251.96099687256</v>
      </c>
    </row>
    <row r="37" spans="1:7" x14ac:dyDescent="0.25">
      <c r="A37" s="167" t="s">
        <v>31</v>
      </c>
      <c r="B37" s="168">
        <v>25.05</v>
      </c>
      <c r="C37" s="295">
        <v>2142916.5999999996</v>
      </c>
      <c r="D37" s="295">
        <v>771238.74878000002</v>
      </c>
      <c r="E37" s="295">
        <v>574636.41999999993</v>
      </c>
      <c r="F37" s="169">
        <f t="shared" si="0"/>
        <v>0.35990143003232145</v>
      </c>
      <c r="G37" s="170">
        <f t="shared" si="1"/>
        <v>22939.577644710575</v>
      </c>
    </row>
    <row r="38" spans="1:7" x14ac:dyDescent="0.25">
      <c r="A38" s="167" t="s">
        <v>15</v>
      </c>
      <c r="B38" s="168">
        <v>1.8</v>
      </c>
      <c r="C38" s="295">
        <v>100369.68839999998</v>
      </c>
      <c r="D38" s="295">
        <v>30945.982327488</v>
      </c>
      <c r="E38" s="295">
        <v>36223.199999999997</v>
      </c>
      <c r="F38" s="169">
        <f t="shared" si="0"/>
        <v>0.30832000000000004</v>
      </c>
      <c r="G38" s="170">
        <f t="shared" si="1"/>
        <v>20123.999999999996</v>
      </c>
    </row>
    <row r="39" spans="1:7" x14ac:dyDescent="0.25">
      <c r="A39" s="167" t="s">
        <v>56</v>
      </c>
      <c r="B39" s="168">
        <v>100</v>
      </c>
      <c r="C39" s="295">
        <v>9686272.8822600003</v>
      </c>
      <c r="D39" s="295">
        <v>3423860.8376351814</v>
      </c>
      <c r="E39" s="295">
        <v>1761789.1999999983</v>
      </c>
      <c r="F39" s="169">
        <f t="shared" si="0"/>
        <v>0.35347557097073301</v>
      </c>
      <c r="G39" s="170">
        <f t="shared" si="1"/>
        <v>17617.891999999982</v>
      </c>
    </row>
    <row r="40" spans="1:7" x14ac:dyDescent="0.25">
      <c r="A40" s="167" t="s">
        <v>57</v>
      </c>
      <c r="B40" s="168">
        <v>97.37</v>
      </c>
      <c r="C40" s="295">
        <v>9745216.4450710025</v>
      </c>
      <c r="D40" s="295">
        <v>4150092.6312585184</v>
      </c>
      <c r="E40" s="295">
        <v>1976514.6926211598</v>
      </c>
      <c r="F40" s="169">
        <f t="shared" si="0"/>
        <v>0.4258594618857931</v>
      </c>
      <c r="G40" s="170">
        <f t="shared" si="1"/>
        <v>20299.010913229533</v>
      </c>
    </row>
    <row r="41" spans="1:7" x14ac:dyDescent="0.25">
      <c r="A41" s="167" t="s">
        <v>16</v>
      </c>
      <c r="B41" s="168">
        <v>5</v>
      </c>
      <c r="C41" s="295">
        <v>445702.39999999997</v>
      </c>
      <c r="D41" s="295">
        <v>135404.38912000001</v>
      </c>
      <c r="E41" s="295">
        <v>76500.069000000003</v>
      </c>
      <c r="F41" s="169">
        <f t="shared" si="0"/>
        <v>0.30380000000000001</v>
      </c>
      <c r="G41" s="170">
        <f t="shared" si="1"/>
        <v>15300.013800000001</v>
      </c>
    </row>
    <row r="42" spans="1:7" x14ac:dyDescent="0.25">
      <c r="A42" s="167" t="s">
        <v>58</v>
      </c>
      <c r="B42" s="168">
        <v>124.85</v>
      </c>
      <c r="C42" s="295">
        <v>10896087.777332</v>
      </c>
      <c r="D42" s="295">
        <v>3881612.3510414371</v>
      </c>
      <c r="E42" s="295">
        <v>1948310.9520800002</v>
      </c>
      <c r="F42" s="169">
        <f t="shared" si="0"/>
        <v>0.35623908602467985</v>
      </c>
      <c r="G42" s="170">
        <f t="shared" si="1"/>
        <v>15605.213873287948</v>
      </c>
    </row>
    <row r="43" spans="1:7" x14ac:dyDescent="0.25">
      <c r="A43" s="167" t="s">
        <v>59</v>
      </c>
      <c r="B43" s="168">
        <v>164.60000000000002</v>
      </c>
      <c r="C43" s="295">
        <v>13566592.739863994</v>
      </c>
      <c r="D43" s="295">
        <v>7665157.4569042092</v>
      </c>
      <c r="E43" s="295">
        <v>2449630.5595000014</v>
      </c>
      <c r="F43" s="169">
        <f t="shared" si="0"/>
        <v>0.56500239993059986</v>
      </c>
      <c r="G43" s="170">
        <f t="shared" si="1"/>
        <v>14882.32417679223</v>
      </c>
    </row>
    <row r="44" spans="1:7" x14ac:dyDescent="0.25">
      <c r="A44" s="167" t="s">
        <v>60</v>
      </c>
      <c r="B44" s="168">
        <v>41</v>
      </c>
      <c r="C44" s="295">
        <v>4721374.1999999993</v>
      </c>
      <c r="D44" s="295">
        <v>1590806.7396800003</v>
      </c>
      <c r="E44" s="295">
        <v>1093420.2999999998</v>
      </c>
      <c r="F44" s="169">
        <f t="shared" si="0"/>
        <v>0.33693722892796774</v>
      </c>
      <c r="G44" s="170">
        <f t="shared" si="1"/>
        <v>26668.787804878044</v>
      </c>
    </row>
    <row r="45" spans="1:7" x14ac:dyDescent="0.25">
      <c r="A45" s="167" t="s">
        <v>45</v>
      </c>
      <c r="B45" s="168">
        <v>29.305</v>
      </c>
      <c r="C45" s="295">
        <v>2817804.2756000003</v>
      </c>
      <c r="D45" s="295">
        <v>1534447.4114607763</v>
      </c>
      <c r="E45" s="295">
        <v>329472.84860000003</v>
      </c>
      <c r="F45" s="169">
        <f t="shared" si="0"/>
        <v>0.5445542917043249</v>
      </c>
      <c r="G45" s="170">
        <f t="shared" si="1"/>
        <v>11242.888537792187</v>
      </c>
    </row>
    <row r="46" spans="1:7" x14ac:dyDescent="0.25">
      <c r="A46" s="167" t="s">
        <v>32</v>
      </c>
      <c r="B46" s="168">
        <v>16</v>
      </c>
      <c r="C46" s="295">
        <v>1504620</v>
      </c>
      <c r="D46" s="295">
        <v>681125.17846000008</v>
      </c>
      <c r="E46" s="295">
        <v>183432</v>
      </c>
      <c r="F46" s="169">
        <f t="shared" si="0"/>
        <v>0.45268916966410128</v>
      </c>
      <c r="G46" s="170">
        <f t="shared" si="1"/>
        <v>11464.5</v>
      </c>
    </row>
    <row r="47" spans="1:7" x14ac:dyDescent="0.25">
      <c r="A47" s="167" t="s">
        <v>46</v>
      </c>
      <c r="B47" s="168">
        <v>49.75</v>
      </c>
      <c r="C47" s="295">
        <v>4949212.0599999996</v>
      </c>
      <c r="D47" s="295">
        <v>2128986.7488819994</v>
      </c>
      <c r="E47" s="295">
        <v>845909.25870572473</v>
      </c>
      <c r="F47" s="169">
        <f t="shared" si="0"/>
        <v>0.43016680697290621</v>
      </c>
      <c r="G47" s="170">
        <f t="shared" si="1"/>
        <v>17003.201180014566</v>
      </c>
    </row>
    <row r="48" spans="1:7" x14ac:dyDescent="0.25">
      <c r="A48" s="167" t="s">
        <v>47</v>
      </c>
      <c r="B48" s="168">
        <v>27.475000000000001</v>
      </c>
      <c r="C48" s="295">
        <v>2561584.3783</v>
      </c>
      <c r="D48" s="295">
        <v>1174927.1739986567</v>
      </c>
      <c r="E48" s="295">
        <v>254206.46000000002</v>
      </c>
      <c r="F48" s="169">
        <f t="shared" si="0"/>
        <v>0.45867205622888724</v>
      </c>
      <c r="G48" s="170">
        <f t="shared" si="1"/>
        <v>9252.2824385805288</v>
      </c>
    </row>
    <row r="49" spans="1:7" x14ac:dyDescent="0.25">
      <c r="A49" s="167" t="s">
        <v>61</v>
      </c>
      <c r="B49" s="168">
        <v>84.59</v>
      </c>
      <c r="C49" s="295">
        <v>8760492.0918449461</v>
      </c>
      <c r="D49" s="295">
        <v>2997600.7274120897</v>
      </c>
      <c r="E49" s="295">
        <v>1914329.6180000007</v>
      </c>
      <c r="F49" s="169">
        <f t="shared" si="0"/>
        <v>0.34217264235676054</v>
      </c>
      <c r="G49" s="170">
        <f t="shared" si="1"/>
        <v>22630.68469086181</v>
      </c>
    </row>
    <row r="50" spans="1:7" x14ac:dyDescent="0.25">
      <c r="A50" s="167" t="s">
        <v>33</v>
      </c>
      <c r="B50" s="168">
        <v>14</v>
      </c>
      <c r="C50" s="295">
        <v>1454562.5300000003</v>
      </c>
      <c r="D50" s="295">
        <v>497002.79531760002</v>
      </c>
      <c r="E50" s="295">
        <v>270185.09000000003</v>
      </c>
      <c r="F50" s="169">
        <f t="shared" si="0"/>
        <v>0.34168541060768282</v>
      </c>
      <c r="G50" s="170">
        <f t="shared" si="1"/>
        <v>19298.935000000001</v>
      </c>
    </row>
    <row r="51" spans="1:7" x14ac:dyDescent="0.25">
      <c r="A51" s="167" t="s">
        <v>34</v>
      </c>
      <c r="B51" s="168">
        <v>16</v>
      </c>
      <c r="C51" s="295">
        <v>1268457.983692308</v>
      </c>
      <c r="D51" s="295">
        <v>393961.22137999081</v>
      </c>
      <c r="E51" s="295">
        <v>209393</v>
      </c>
      <c r="F51" s="169">
        <f t="shared" si="0"/>
        <v>0.31058279142461109</v>
      </c>
      <c r="G51" s="170">
        <f t="shared" si="1"/>
        <v>13087.0625</v>
      </c>
    </row>
    <row r="52" spans="1:7" x14ac:dyDescent="0.25">
      <c r="A52" s="167" t="s">
        <v>17</v>
      </c>
      <c r="B52" s="168">
        <v>0.8</v>
      </c>
      <c r="C52" s="295">
        <v>51660.671999999999</v>
      </c>
      <c r="D52" s="295">
        <v>20128.547631359997</v>
      </c>
      <c r="E52" s="295">
        <v>18290.912</v>
      </c>
      <c r="F52" s="169">
        <f t="shared" si="0"/>
        <v>0.38962999999999998</v>
      </c>
      <c r="G52" s="170">
        <f t="shared" si="1"/>
        <v>22863.64</v>
      </c>
    </row>
    <row r="53" spans="1:7" x14ac:dyDescent="0.25">
      <c r="A53" s="167" t="s">
        <v>35</v>
      </c>
      <c r="B53" s="168">
        <v>2.75</v>
      </c>
      <c r="C53" s="295">
        <v>211336.45</v>
      </c>
      <c r="D53" s="295">
        <v>85937.854028000002</v>
      </c>
      <c r="E53" s="295">
        <v>62123.792500000003</v>
      </c>
      <c r="F53" s="169">
        <f t="shared" si="0"/>
        <v>0.40664</v>
      </c>
      <c r="G53" s="170">
        <f t="shared" si="1"/>
        <v>22590.47</v>
      </c>
    </row>
    <row r="54" spans="1:7" x14ac:dyDescent="0.25">
      <c r="A54" s="167" t="s">
        <v>48</v>
      </c>
      <c r="B54" s="168">
        <v>22</v>
      </c>
      <c r="C54" s="295">
        <v>1735008.0999463014</v>
      </c>
      <c r="D54" s="295">
        <v>791219.67157440644</v>
      </c>
      <c r="E54" s="295">
        <v>460965.18333333352</v>
      </c>
      <c r="F54" s="169">
        <f t="shared" si="0"/>
        <v>0.45603226382568168</v>
      </c>
      <c r="G54" s="170">
        <f t="shared" si="1"/>
        <v>20952.962878787886</v>
      </c>
    </row>
    <row r="55" spans="1:7" x14ac:dyDescent="0.25">
      <c r="A55" s="167" t="s">
        <v>49</v>
      </c>
      <c r="B55" s="168">
        <v>19</v>
      </c>
      <c r="C55" s="295">
        <v>1641494.7200000002</v>
      </c>
      <c r="D55" s="295">
        <v>767684.98509279976</v>
      </c>
      <c r="E55" s="295">
        <v>445424.22</v>
      </c>
      <c r="F55" s="169">
        <f t="shared" si="0"/>
        <v>0.46767435541480123</v>
      </c>
      <c r="G55" s="170">
        <f t="shared" si="1"/>
        <v>23443.379999999997</v>
      </c>
    </row>
    <row r="56" spans="1:7" x14ac:dyDescent="0.25">
      <c r="A56" s="167" t="s">
        <v>50</v>
      </c>
      <c r="B56" s="168">
        <v>34.549999999999997</v>
      </c>
      <c r="C56" s="295">
        <v>2942121.9086000007</v>
      </c>
      <c r="D56" s="295">
        <v>1075336.4368725403</v>
      </c>
      <c r="E56" s="295">
        <v>667689.07434021216</v>
      </c>
      <c r="F56" s="169">
        <f t="shared" si="0"/>
        <v>0.36549689995144891</v>
      </c>
      <c r="G56" s="170">
        <f t="shared" si="1"/>
        <v>19325.298823160989</v>
      </c>
    </row>
    <row r="57" spans="1:7" x14ac:dyDescent="0.25">
      <c r="A57" s="167" t="s">
        <v>36</v>
      </c>
      <c r="B57" s="168">
        <v>10</v>
      </c>
      <c r="C57" s="295">
        <v>674747.67999999993</v>
      </c>
      <c r="D57" s="295">
        <v>271050.50442239997</v>
      </c>
      <c r="E57" s="295">
        <v>215026.91999999998</v>
      </c>
      <c r="F57" s="169">
        <f t="shared" si="0"/>
        <v>0.4017064636997344</v>
      </c>
      <c r="G57" s="170">
        <f t="shared" si="1"/>
        <v>21502.691999999999</v>
      </c>
    </row>
    <row r="58" spans="1:7" x14ac:dyDescent="0.25">
      <c r="A58" s="167" t="s">
        <v>37</v>
      </c>
      <c r="B58" s="168">
        <v>5.65</v>
      </c>
      <c r="C58" s="295">
        <v>514623.75</v>
      </c>
      <c r="D58" s="295">
        <v>160838.5558</v>
      </c>
      <c r="E58" s="295">
        <v>114602.22699999998</v>
      </c>
      <c r="F58" s="169">
        <f t="shared" si="0"/>
        <v>0.31253620883218081</v>
      </c>
      <c r="G58" s="170">
        <f t="shared" si="1"/>
        <v>20283.579999999994</v>
      </c>
    </row>
    <row r="59" spans="1:7" x14ac:dyDescent="0.25">
      <c r="A59" s="167" t="s">
        <v>18</v>
      </c>
      <c r="B59" s="168">
        <v>1.3</v>
      </c>
      <c r="C59" s="295">
        <v>76712.991999999984</v>
      </c>
      <c r="D59" s="295">
        <v>36946.511207039992</v>
      </c>
      <c r="E59" s="295">
        <v>13831.88</v>
      </c>
      <c r="F59" s="169">
        <f t="shared" si="0"/>
        <v>0.48161999999999999</v>
      </c>
      <c r="G59" s="170">
        <f t="shared" si="1"/>
        <v>10639.907692307692</v>
      </c>
    </row>
    <row r="60" spans="1:7" x14ac:dyDescent="0.25">
      <c r="A60" s="167" t="s">
        <v>51</v>
      </c>
      <c r="B60" s="168">
        <v>27.5</v>
      </c>
      <c r="C60" s="295">
        <v>2568746.9345</v>
      </c>
      <c r="D60" s="295">
        <v>759621.36854561034</v>
      </c>
      <c r="E60" s="295">
        <v>770418.5299999998</v>
      </c>
      <c r="F60" s="169">
        <f t="shared" si="0"/>
        <v>0.29571670075529205</v>
      </c>
      <c r="G60" s="170">
        <f t="shared" si="1"/>
        <v>28015.219272727267</v>
      </c>
    </row>
    <row r="61" spans="1:7" x14ac:dyDescent="0.25">
      <c r="A61" s="167" t="s">
        <v>38</v>
      </c>
      <c r="B61" s="168">
        <v>4</v>
      </c>
      <c r="C61" s="295">
        <v>347500</v>
      </c>
      <c r="D61" s="295">
        <v>110289.21999999999</v>
      </c>
      <c r="E61" s="295">
        <v>85928.84</v>
      </c>
      <c r="F61" s="169">
        <f t="shared" si="0"/>
        <v>0.3173790503597122</v>
      </c>
      <c r="G61" s="170">
        <f t="shared" si="1"/>
        <v>21482.21</v>
      </c>
    </row>
    <row r="62" spans="1:7" x14ac:dyDescent="0.25">
      <c r="A62" s="167" t="s">
        <v>52</v>
      </c>
      <c r="B62" s="168">
        <v>46.5687</v>
      </c>
      <c r="C62" s="295">
        <v>4947678.9095479995</v>
      </c>
      <c r="D62" s="295">
        <v>1718305.3884422618</v>
      </c>
      <c r="E62" s="295">
        <v>750413.2105070001</v>
      </c>
      <c r="F62" s="169">
        <f t="shared" si="0"/>
        <v>0.34729525093600699</v>
      </c>
      <c r="G62" s="170">
        <f t="shared" si="1"/>
        <v>16114.111205745492</v>
      </c>
    </row>
    <row r="63" spans="1:7" x14ac:dyDescent="0.25">
      <c r="A63" s="167" t="s">
        <v>39</v>
      </c>
      <c r="B63" s="168">
        <v>15</v>
      </c>
      <c r="C63" s="295">
        <v>1155150</v>
      </c>
      <c r="D63" s="295">
        <v>455683.36259999993</v>
      </c>
      <c r="E63" s="295">
        <v>408841.65</v>
      </c>
      <c r="F63" s="169">
        <f t="shared" si="0"/>
        <v>0.39447981872484089</v>
      </c>
      <c r="G63" s="170">
        <f t="shared" si="1"/>
        <v>27256.11</v>
      </c>
    </row>
    <row r="64" spans="1:7" x14ac:dyDescent="0.25">
      <c r="A64" s="167" t="s">
        <v>40</v>
      </c>
      <c r="B64" s="168">
        <v>5</v>
      </c>
      <c r="C64" s="295">
        <v>512429.31679999991</v>
      </c>
      <c r="D64" s="295">
        <v>54158.654492591988</v>
      </c>
      <c r="E64" s="295">
        <v>78009.799999999988</v>
      </c>
      <c r="F64" s="169">
        <f t="shared" si="0"/>
        <v>0.10568999999999999</v>
      </c>
      <c r="G64" s="170">
        <f t="shared" si="1"/>
        <v>15601.959999999997</v>
      </c>
    </row>
    <row r="65" spans="1:7" s="173" customFormat="1" ht="15.75" thickBot="1" x14ac:dyDescent="0.3">
      <c r="A65" s="171" t="s">
        <v>175</v>
      </c>
      <c r="B65" s="179">
        <f>SUM(B7:B64)</f>
        <v>2382.5237000000006</v>
      </c>
      <c r="C65" s="82">
        <f t="shared" ref="C65:D65" si="2">SUM(C7:C64)</f>
        <v>214241239.31189495</v>
      </c>
      <c r="D65" s="82">
        <f t="shared" si="2"/>
        <v>84714225.77323772</v>
      </c>
      <c r="E65" s="82">
        <f>SUM(E7:E64)</f>
        <v>45783082.494126067</v>
      </c>
      <c r="F65" s="180">
        <f t="shared" si="0"/>
        <v>0.39541512196869688</v>
      </c>
      <c r="G65" s="82">
        <f t="shared" si="1"/>
        <v>19216.212831010267</v>
      </c>
    </row>
    <row r="66" spans="1:7" ht="15.75" thickTop="1" x14ac:dyDescent="0.25">
      <c r="D66" s="174"/>
      <c r="G66" s="172"/>
    </row>
    <row r="67" spans="1:7" x14ac:dyDescent="0.25">
      <c r="B67" s="175"/>
      <c r="C67" s="175"/>
      <c r="D67" s="175"/>
    </row>
    <row r="68" spans="1:7" x14ac:dyDescent="0.25">
      <c r="D68" s="174"/>
    </row>
  </sheetData>
  <mergeCells count="2">
    <mergeCell ref="B4:C4"/>
    <mergeCell ref="A5:A6"/>
  </mergeCells>
  <printOptions horizontalCentered="1"/>
  <pageMargins left="0.5" right="0.5" top="0.5" bottom="0.5" header="0.3" footer="0.3"/>
  <pageSetup scale="7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AD6F6-189A-44B6-B011-C373DFC30D94}">
  <sheetPr>
    <tabColor rgb="FF92D050"/>
    <pageSetUpPr fitToPage="1"/>
  </sheetPr>
  <dimension ref="A1:J73"/>
  <sheetViews>
    <sheetView zoomScaleNormal="100" workbookViewId="0">
      <pane xSplit="2" ySplit="6" topLeftCell="C48" activePane="bottomRight" state="frozen"/>
      <selection pane="topRight" activeCell="C1" sqref="C1"/>
      <selection pane="bottomLeft" activeCell="A7" sqref="A7"/>
      <selection pane="bottomRight" activeCell="D4" sqref="D4:E4"/>
    </sheetView>
  </sheetViews>
  <sheetFormatPr defaultColWidth="9.28515625" defaultRowHeight="15" x14ac:dyDescent="0.25"/>
  <cols>
    <col min="1" max="1" width="10.7109375" style="190" bestFit="1" customWidth="1"/>
    <col min="2" max="2" width="15.85546875" style="183" customWidth="1"/>
    <col min="3" max="3" width="1.7109375" style="65" customWidth="1"/>
    <col min="4" max="4" width="17" style="213" customWidth="1"/>
    <col min="5" max="5" width="19.28515625" style="74" customWidth="1"/>
    <col min="6" max="6" width="5.28515625" style="183" customWidth="1"/>
    <col min="7" max="7" width="15.85546875" style="183" customWidth="1"/>
    <col min="8" max="8" width="18.42578125" style="183" customWidth="1"/>
    <col min="9" max="16384" width="9.28515625" style="183"/>
  </cols>
  <sheetData>
    <row r="1" spans="1:10" ht="18.75" x14ac:dyDescent="0.25">
      <c r="A1" s="215" t="s">
        <v>199</v>
      </c>
      <c r="C1" s="105"/>
    </row>
    <row r="2" spans="1:10" ht="15.95" customHeight="1" x14ac:dyDescent="0.25">
      <c r="A2" s="294" t="s">
        <v>231</v>
      </c>
      <c r="C2" s="54"/>
    </row>
    <row r="3" spans="1:10" ht="15" customHeight="1" x14ac:dyDescent="0.25">
      <c r="C3" s="54"/>
    </row>
    <row r="4" spans="1:10" ht="15.75" thickBot="1" x14ac:dyDescent="0.3">
      <c r="C4" s="86"/>
      <c r="D4" s="327" t="s">
        <v>232</v>
      </c>
      <c r="E4" s="328"/>
    </row>
    <row r="5" spans="1:10" ht="30" x14ac:dyDescent="0.25">
      <c r="A5" s="325" t="s">
        <v>68</v>
      </c>
      <c r="B5" s="336" t="s">
        <v>63</v>
      </c>
      <c r="C5" s="86"/>
      <c r="D5" s="221" t="s">
        <v>204</v>
      </c>
      <c r="E5" s="222" t="s">
        <v>186</v>
      </c>
      <c r="G5" s="338" t="s">
        <v>68</v>
      </c>
      <c r="H5" s="340" t="s">
        <v>100</v>
      </c>
    </row>
    <row r="6" spans="1:10" ht="15.95" customHeight="1" x14ac:dyDescent="0.25">
      <c r="A6" s="326"/>
      <c r="B6" s="337"/>
      <c r="C6" s="86"/>
      <c r="D6" s="83" t="s">
        <v>65</v>
      </c>
      <c r="E6" s="83" t="s">
        <v>1</v>
      </c>
      <c r="G6" s="339"/>
      <c r="H6" s="341"/>
    </row>
    <row r="7" spans="1:10" x14ac:dyDescent="0.25">
      <c r="A7" s="220">
        <v>4</v>
      </c>
      <c r="B7" s="167" t="s">
        <v>53</v>
      </c>
      <c r="C7" s="87"/>
      <c r="D7" s="216">
        <f>[10]Sheet4!B5</f>
        <v>1</v>
      </c>
      <c r="E7" s="256">
        <v>276684.47519999999</v>
      </c>
      <c r="G7" s="331">
        <v>1</v>
      </c>
      <c r="H7" s="335">
        <f>AVERAGEIF($A$7:$A$64,1,$E$7:$E$64)</f>
        <v>127124.65839999999</v>
      </c>
      <c r="I7" s="255"/>
      <c r="J7" s="259"/>
    </row>
    <row r="8" spans="1:10" x14ac:dyDescent="0.25">
      <c r="A8" s="220">
        <v>1</v>
      </c>
      <c r="B8" s="167" t="s">
        <v>4</v>
      </c>
      <c r="C8" s="86"/>
      <c r="D8" s="216">
        <f>[10]Sheet4!B6</f>
        <v>0.99999999999999989</v>
      </c>
      <c r="E8" s="256">
        <v>120000</v>
      </c>
      <c r="G8" s="331"/>
      <c r="H8" s="335"/>
      <c r="I8" s="255"/>
      <c r="J8" s="259"/>
    </row>
    <row r="9" spans="1:10" x14ac:dyDescent="0.25">
      <c r="A9" s="220">
        <v>1</v>
      </c>
      <c r="B9" s="167" t="s">
        <v>5</v>
      </c>
      <c r="C9" s="56"/>
      <c r="D9" s="216">
        <f>[10]Sheet4!B7</f>
        <v>1</v>
      </c>
      <c r="E9" s="256">
        <v>125000</v>
      </c>
      <c r="G9" s="331">
        <v>2</v>
      </c>
      <c r="H9" s="332">
        <f>AVERAGEIF($A$7:$A$64,2,$E$7:$E$64)</f>
        <v>190157.45434750689</v>
      </c>
      <c r="I9" s="255"/>
      <c r="J9" s="259"/>
    </row>
    <row r="10" spans="1:10" x14ac:dyDescent="0.25">
      <c r="A10" s="220">
        <v>2</v>
      </c>
      <c r="B10" s="167" t="s">
        <v>19</v>
      </c>
      <c r="C10" s="56"/>
      <c r="D10" s="216">
        <f>[10]Sheet4!B8</f>
        <v>0.99999999999999989</v>
      </c>
      <c r="E10" s="256">
        <v>197483.99999999997</v>
      </c>
      <c r="G10" s="331"/>
      <c r="H10" s="332"/>
      <c r="I10" s="255"/>
      <c r="J10" s="259"/>
    </row>
    <row r="11" spans="1:10" x14ac:dyDescent="0.25">
      <c r="A11" s="220">
        <v>1</v>
      </c>
      <c r="B11" s="167" t="s">
        <v>6</v>
      </c>
      <c r="C11" s="56"/>
      <c r="D11" s="216">
        <f>[10]Sheet4!B9</f>
        <v>1</v>
      </c>
      <c r="E11" s="256">
        <v>169862.9</v>
      </c>
      <c r="G11" s="331">
        <v>3</v>
      </c>
      <c r="H11" s="332">
        <f>AVERAGEIF($A$7:$A$64,3,$E$7:$E$64)</f>
        <v>213653.64014246574</v>
      </c>
      <c r="I11" s="255"/>
      <c r="J11" s="259"/>
    </row>
    <row r="12" spans="1:10" x14ac:dyDescent="0.25">
      <c r="A12" s="220">
        <v>1</v>
      </c>
      <c r="B12" s="167" t="s">
        <v>7</v>
      </c>
      <c r="C12" s="88"/>
      <c r="D12" s="216">
        <f>[10]Sheet4!B10</f>
        <v>0.99999999999999989</v>
      </c>
      <c r="E12" s="256">
        <v>115500</v>
      </c>
      <c r="G12" s="331"/>
      <c r="H12" s="332"/>
      <c r="I12" s="255"/>
      <c r="J12" s="259"/>
    </row>
    <row r="13" spans="1:10" x14ac:dyDescent="0.25">
      <c r="A13" s="220">
        <v>3</v>
      </c>
      <c r="B13" s="167" t="s">
        <v>41</v>
      </c>
      <c r="C13" s="56"/>
      <c r="D13" s="216">
        <f>[10]Sheet4!B11</f>
        <v>1</v>
      </c>
      <c r="E13" s="256">
        <v>225500</v>
      </c>
      <c r="G13" s="331">
        <v>4</v>
      </c>
      <c r="H13" s="332">
        <f>AVERAGEIF($A$7:$A$64,4,$E$7:$E$64)</f>
        <v>265871.93483199994</v>
      </c>
      <c r="I13" s="255"/>
      <c r="J13" s="259"/>
    </row>
    <row r="14" spans="1:10" ht="15.75" thickBot="1" x14ac:dyDescent="0.3">
      <c r="A14" s="220">
        <v>1</v>
      </c>
      <c r="B14" s="167" t="s">
        <v>8</v>
      </c>
      <c r="C14" s="56"/>
      <c r="D14" s="216">
        <f>[10]Sheet4!B12</f>
        <v>1</v>
      </c>
      <c r="E14" s="256">
        <v>129583.33</v>
      </c>
      <c r="G14" s="333"/>
      <c r="H14" s="334"/>
      <c r="I14" s="255"/>
      <c r="J14" s="259"/>
    </row>
    <row r="15" spans="1:10" x14ac:dyDescent="0.25">
      <c r="A15" s="220">
        <v>2</v>
      </c>
      <c r="B15" s="167" t="s">
        <v>20</v>
      </c>
      <c r="C15" s="56"/>
      <c r="D15" s="216">
        <f>[10]Sheet4!B13</f>
        <v>1</v>
      </c>
      <c r="E15" s="256">
        <v>212451</v>
      </c>
      <c r="G15" s="117"/>
      <c r="H15" s="117"/>
      <c r="I15" s="255"/>
    </row>
    <row r="16" spans="1:10" x14ac:dyDescent="0.25">
      <c r="A16" s="220">
        <v>3</v>
      </c>
      <c r="B16" s="167" t="s">
        <v>42</v>
      </c>
      <c r="C16" s="56"/>
      <c r="D16" s="216">
        <f>[10]Sheet4!B14</f>
        <v>1</v>
      </c>
      <c r="E16" s="256">
        <v>214863</v>
      </c>
      <c r="I16" s="255"/>
    </row>
    <row r="17" spans="1:9" x14ac:dyDescent="0.25">
      <c r="A17" s="220">
        <v>1</v>
      </c>
      <c r="B17" s="167" t="s">
        <v>9</v>
      </c>
      <c r="C17" s="56"/>
      <c r="D17" s="216">
        <f>[10]Sheet4!B15</f>
        <v>1</v>
      </c>
      <c r="E17" s="256">
        <v>120000</v>
      </c>
      <c r="I17" s="255"/>
    </row>
    <row r="18" spans="1:9" x14ac:dyDescent="0.25">
      <c r="A18" s="220">
        <v>2</v>
      </c>
      <c r="B18" s="167" t="s">
        <v>21</v>
      </c>
      <c r="C18" s="88"/>
      <c r="D18" s="216">
        <f>[10]Sheet4!B16</f>
        <v>1</v>
      </c>
      <c r="E18" s="256">
        <v>182410.85</v>
      </c>
      <c r="I18" s="255"/>
    </row>
    <row r="19" spans="1:9" x14ac:dyDescent="0.25">
      <c r="A19" s="220">
        <v>2</v>
      </c>
      <c r="B19" s="167" t="s">
        <v>22</v>
      </c>
      <c r="C19" s="56"/>
      <c r="D19" s="216">
        <f>[10]Sheet4!B17</f>
        <v>1</v>
      </c>
      <c r="E19" s="256">
        <v>188031.89415337029</v>
      </c>
      <c r="I19" s="255"/>
    </row>
    <row r="20" spans="1:9" x14ac:dyDescent="0.25">
      <c r="A20" s="220">
        <v>1</v>
      </c>
      <c r="B20" s="167" t="s">
        <v>10</v>
      </c>
      <c r="C20" s="56"/>
      <c r="D20" s="216">
        <f>[10]Sheet4!B18</f>
        <v>1</v>
      </c>
      <c r="E20" s="256">
        <v>135000.05999999997</v>
      </c>
      <c r="I20" s="255"/>
    </row>
    <row r="21" spans="1:9" x14ac:dyDescent="0.25">
      <c r="A21" s="220">
        <v>3</v>
      </c>
      <c r="B21" s="167" t="s">
        <v>43</v>
      </c>
      <c r="C21" s="56"/>
      <c r="D21" s="216">
        <f>[10]Sheet4!B19</f>
        <v>1</v>
      </c>
      <c r="E21" s="256">
        <v>190296.43545205481</v>
      </c>
      <c r="I21" s="255"/>
    </row>
    <row r="22" spans="1:9" x14ac:dyDescent="0.25">
      <c r="A22" s="220">
        <v>2</v>
      </c>
      <c r="B22" s="167" t="s">
        <v>23</v>
      </c>
      <c r="C22" s="56"/>
      <c r="D22" s="216">
        <f>[10]Sheet4!B20</f>
        <v>1</v>
      </c>
      <c r="E22" s="256">
        <v>184000</v>
      </c>
      <c r="I22" s="255"/>
    </row>
    <row r="23" spans="1:9" x14ac:dyDescent="0.25">
      <c r="A23" s="220">
        <v>2</v>
      </c>
      <c r="B23" s="167" t="s">
        <v>24</v>
      </c>
      <c r="C23" s="56"/>
      <c r="D23" s="216">
        <f>[10]Sheet4!B21</f>
        <v>1</v>
      </c>
      <c r="E23" s="256">
        <v>203990.05</v>
      </c>
      <c r="I23" s="255"/>
    </row>
    <row r="24" spans="1:9" x14ac:dyDescent="0.25">
      <c r="A24" s="220">
        <v>1</v>
      </c>
      <c r="B24" s="167" t="s">
        <v>11</v>
      </c>
      <c r="C24" s="56"/>
      <c r="D24" s="216">
        <f>[10]Sheet4!B22</f>
        <v>0.75</v>
      </c>
      <c r="E24" s="256">
        <v>108279</v>
      </c>
      <c r="I24" s="255"/>
    </row>
    <row r="25" spans="1:9" x14ac:dyDescent="0.25">
      <c r="A25" s="220">
        <v>4</v>
      </c>
      <c r="B25" s="167" t="s">
        <v>54</v>
      </c>
      <c r="C25" s="56"/>
      <c r="D25" s="216">
        <f>[10]Sheet4!B23</f>
        <v>1</v>
      </c>
      <c r="E25" s="256">
        <v>345117.6</v>
      </c>
      <c r="I25" s="255"/>
    </row>
    <row r="26" spans="1:9" x14ac:dyDescent="0.25">
      <c r="A26" s="220">
        <v>2</v>
      </c>
      <c r="B26" s="167" t="s">
        <v>25</v>
      </c>
      <c r="C26" s="56"/>
      <c r="D26" s="216">
        <f>[10]Sheet4!B24</f>
        <v>1</v>
      </c>
      <c r="E26" s="256">
        <v>176310.39999999999</v>
      </c>
      <c r="I26" s="255"/>
    </row>
    <row r="27" spans="1:9" x14ac:dyDescent="0.25">
      <c r="A27" s="220">
        <v>2</v>
      </c>
      <c r="B27" s="167" t="s">
        <v>26</v>
      </c>
      <c r="C27" s="56"/>
      <c r="D27" s="216">
        <f>[10]Sheet4!B25</f>
        <v>1</v>
      </c>
      <c r="E27" s="256">
        <v>215000</v>
      </c>
      <c r="I27" s="255"/>
    </row>
    <row r="28" spans="1:9" x14ac:dyDescent="0.25">
      <c r="A28" s="220">
        <v>1</v>
      </c>
      <c r="B28" s="167" t="s">
        <v>12</v>
      </c>
      <c r="C28" s="56"/>
      <c r="D28" s="216">
        <f>[10]Sheet4!B26</f>
        <v>1</v>
      </c>
      <c r="E28" s="256">
        <v>103167.34</v>
      </c>
      <c r="I28" s="255"/>
    </row>
    <row r="29" spans="1:9" x14ac:dyDescent="0.25">
      <c r="A29" s="220">
        <v>2</v>
      </c>
      <c r="B29" s="167" t="s">
        <v>27</v>
      </c>
      <c r="C29" s="56"/>
      <c r="D29" s="216">
        <f>[10]Sheet4!B27</f>
        <v>0.75</v>
      </c>
      <c r="E29" s="256">
        <v>209920</v>
      </c>
      <c r="I29" s="255"/>
    </row>
    <row r="30" spans="1:9" x14ac:dyDescent="0.25">
      <c r="A30" s="220">
        <v>2</v>
      </c>
      <c r="B30" s="167" t="s">
        <v>28</v>
      </c>
      <c r="C30" s="56"/>
      <c r="D30" s="216">
        <f>[10]Sheet4!B28</f>
        <v>1</v>
      </c>
      <c r="E30" s="256">
        <v>149260.80000000002</v>
      </c>
      <c r="I30" s="255"/>
    </row>
    <row r="31" spans="1:9" x14ac:dyDescent="0.25">
      <c r="A31" s="220">
        <v>1</v>
      </c>
      <c r="B31" s="167" t="s">
        <v>13</v>
      </c>
      <c r="C31" s="56"/>
      <c r="D31" s="216">
        <f>[10]Sheet4!B29</f>
        <v>1</v>
      </c>
      <c r="E31" s="256">
        <v>117169.49</v>
      </c>
      <c r="I31" s="255"/>
    </row>
    <row r="32" spans="1:9" x14ac:dyDescent="0.25">
      <c r="A32" s="220">
        <v>1</v>
      </c>
      <c r="B32" s="167" t="s">
        <v>14</v>
      </c>
      <c r="C32" s="56"/>
      <c r="D32" s="216">
        <f>[10]Sheet4!B30</f>
        <v>1</v>
      </c>
      <c r="E32" s="256">
        <v>132320</v>
      </c>
      <c r="I32" s="255"/>
    </row>
    <row r="33" spans="1:9" x14ac:dyDescent="0.25">
      <c r="A33" s="220">
        <v>3</v>
      </c>
      <c r="B33" s="167" t="s">
        <v>44</v>
      </c>
      <c r="C33" s="56"/>
      <c r="D33" s="216">
        <f>[10]Sheet4!B31</f>
        <v>1</v>
      </c>
      <c r="E33" s="256">
        <v>208374.39999999999</v>
      </c>
      <c r="I33" s="255"/>
    </row>
    <row r="34" spans="1:9" x14ac:dyDescent="0.25">
      <c r="A34" s="220">
        <v>2</v>
      </c>
      <c r="B34" s="167" t="s">
        <v>29</v>
      </c>
      <c r="C34" s="56"/>
      <c r="D34" s="216">
        <f>[10]Sheet4!B32</f>
        <v>1</v>
      </c>
      <c r="E34" s="256">
        <v>190161</v>
      </c>
      <c r="I34" s="255"/>
    </row>
    <row r="35" spans="1:9" x14ac:dyDescent="0.25">
      <c r="A35" s="220">
        <v>2</v>
      </c>
      <c r="B35" s="167" t="s">
        <v>30</v>
      </c>
      <c r="C35" s="56"/>
      <c r="D35" s="216">
        <f>[10]Sheet4!B33</f>
        <v>1</v>
      </c>
      <c r="E35" s="256">
        <v>180738.4021917808</v>
      </c>
      <c r="I35" s="255"/>
    </row>
    <row r="36" spans="1:9" x14ac:dyDescent="0.25">
      <c r="A36" s="220">
        <v>4</v>
      </c>
      <c r="B36" s="167" t="s">
        <v>55</v>
      </c>
      <c r="C36" s="56"/>
      <c r="D36" s="216">
        <f>[10]Sheet4!B34</f>
        <v>1</v>
      </c>
      <c r="E36" s="256">
        <v>250957</v>
      </c>
      <c r="I36" s="255"/>
    </row>
    <row r="37" spans="1:9" x14ac:dyDescent="0.25">
      <c r="A37" s="220">
        <v>2</v>
      </c>
      <c r="B37" s="167" t="s">
        <v>31</v>
      </c>
      <c r="C37" s="56"/>
      <c r="D37" s="216">
        <f>[10]Sheet4!B35</f>
        <v>1</v>
      </c>
      <c r="E37" s="256">
        <v>212594</v>
      </c>
      <c r="I37" s="255"/>
    </row>
    <row r="38" spans="1:9" x14ac:dyDescent="0.25">
      <c r="A38" s="220">
        <v>1</v>
      </c>
      <c r="B38" s="167" t="s">
        <v>15</v>
      </c>
      <c r="C38" s="56"/>
      <c r="D38" s="216">
        <f>[10]Sheet4!B36</f>
        <v>1</v>
      </c>
      <c r="E38" s="256">
        <v>132601.696</v>
      </c>
      <c r="I38" s="255"/>
    </row>
    <row r="39" spans="1:9" x14ac:dyDescent="0.25">
      <c r="A39" s="220">
        <v>4</v>
      </c>
      <c r="B39" s="167" t="s">
        <v>56</v>
      </c>
      <c r="C39" s="56"/>
      <c r="D39" s="216">
        <f>[10]Sheet4!B37</f>
        <v>1</v>
      </c>
      <c r="E39" s="256">
        <v>251908.28</v>
      </c>
      <c r="I39" s="255"/>
    </row>
    <row r="40" spans="1:9" x14ac:dyDescent="0.25">
      <c r="A40" s="220">
        <v>4</v>
      </c>
      <c r="B40" s="167" t="s">
        <v>57</v>
      </c>
      <c r="C40" s="56"/>
      <c r="D40" s="216">
        <f>[10]Sheet4!B38</f>
        <v>1</v>
      </c>
      <c r="E40" s="256">
        <v>221790.00948000001</v>
      </c>
      <c r="I40" s="255"/>
    </row>
    <row r="41" spans="1:9" x14ac:dyDescent="0.25">
      <c r="A41" s="220">
        <v>1</v>
      </c>
      <c r="B41" s="167" t="s">
        <v>16</v>
      </c>
      <c r="C41" s="56"/>
      <c r="D41" s="216">
        <f>[10]Sheet4!B39</f>
        <v>1</v>
      </c>
      <c r="E41" s="256">
        <v>146827.20000000001</v>
      </c>
      <c r="I41" s="255"/>
    </row>
    <row r="42" spans="1:9" x14ac:dyDescent="0.25">
      <c r="A42" s="220">
        <v>4</v>
      </c>
      <c r="B42" s="167" t="s">
        <v>58</v>
      </c>
      <c r="C42" s="56"/>
      <c r="D42" s="216">
        <f>[10]Sheet4!B40</f>
        <v>1</v>
      </c>
      <c r="E42" s="256">
        <v>253043.18457599997</v>
      </c>
      <c r="I42" s="255"/>
    </row>
    <row r="43" spans="1:9" x14ac:dyDescent="0.25">
      <c r="A43" s="220">
        <v>4</v>
      </c>
      <c r="B43" s="167" t="s">
        <v>59</v>
      </c>
      <c r="C43" s="56"/>
      <c r="D43" s="216">
        <f>[10]Sheet4!B41</f>
        <v>1</v>
      </c>
      <c r="E43" s="256">
        <v>267499.88939999999</v>
      </c>
      <c r="I43" s="255"/>
    </row>
    <row r="44" spans="1:9" x14ac:dyDescent="0.25">
      <c r="A44" s="220">
        <v>3</v>
      </c>
      <c r="B44" s="167" t="s">
        <v>60</v>
      </c>
      <c r="C44" s="56"/>
      <c r="D44" s="216">
        <f>[10]Sheet4!B42</f>
        <v>1</v>
      </c>
      <c r="E44" s="256">
        <v>234530.52</v>
      </c>
      <c r="I44" s="255"/>
    </row>
    <row r="45" spans="1:9" x14ac:dyDescent="0.25">
      <c r="A45" s="220">
        <v>3</v>
      </c>
      <c r="B45" s="167" t="s">
        <v>45</v>
      </c>
      <c r="C45" s="56"/>
      <c r="D45" s="216">
        <f>[10]Sheet4!B43</f>
        <v>1</v>
      </c>
      <c r="E45" s="256">
        <v>196984.6</v>
      </c>
      <c r="I45" s="255"/>
    </row>
    <row r="46" spans="1:9" x14ac:dyDescent="0.25">
      <c r="A46" s="220">
        <v>2</v>
      </c>
      <c r="B46" s="167" t="s">
        <v>32</v>
      </c>
      <c r="C46" s="56"/>
      <c r="D46" s="216">
        <f>[10]Sheet4!B44</f>
        <v>1</v>
      </c>
      <c r="E46" s="256">
        <v>215197</v>
      </c>
      <c r="I46" s="255"/>
    </row>
    <row r="47" spans="1:9" x14ac:dyDescent="0.25">
      <c r="A47" s="220">
        <v>3</v>
      </c>
      <c r="B47" s="167" t="s">
        <v>46</v>
      </c>
      <c r="C47" s="56"/>
      <c r="D47" s="216">
        <f>[10]Sheet4!B45</f>
        <v>1</v>
      </c>
      <c r="E47" s="256">
        <v>234644.8</v>
      </c>
      <c r="I47" s="255"/>
    </row>
    <row r="48" spans="1:9" x14ac:dyDescent="0.25">
      <c r="A48" s="220">
        <v>3</v>
      </c>
      <c r="B48" s="167" t="s">
        <v>47</v>
      </c>
      <c r="C48" s="56"/>
      <c r="D48" s="216">
        <f>[10]Sheet4!B46</f>
        <v>1</v>
      </c>
      <c r="E48" s="256">
        <v>213417.77600000001</v>
      </c>
      <c r="I48" s="255"/>
    </row>
    <row r="49" spans="1:9" x14ac:dyDescent="0.25">
      <c r="A49" s="220">
        <v>4</v>
      </c>
      <c r="B49" s="167" t="s">
        <v>61</v>
      </c>
      <c r="C49" s="56"/>
      <c r="D49" s="216">
        <f>[10]Sheet4!B47</f>
        <v>1</v>
      </c>
      <c r="E49" s="256">
        <v>259975.04000000001</v>
      </c>
      <c r="I49" s="255"/>
    </row>
    <row r="50" spans="1:9" x14ac:dyDescent="0.25">
      <c r="A50" s="220">
        <v>2</v>
      </c>
      <c r="B50" s="167" t="s">
        <v>33</v>
      </c>
      <c r="C50" s="56"/>
      <c r="D50" s="216">
        <f>[10]Sheet4!B48</f>
        <v>1</v>
      </c>
      <c r="E50" s="256">
        <v>217510.05429999999</v>
      </c>
      <c r="I50" s="255"/>
    </row>
    <row r="51" spans="1:9" x14ac:dyDescent="0.25">
      <c r="A51" s="220">
        <v>2</v>
      </c>
      <c r="B51" s="167" t="s">
        <v>34</v>
      </c>
      <c r="C51" s="56"/>
      <c r="D51" s="216">
        <f>[10]Sheet4!B49/2</f>
        <v>1</v>
      </c>
      <c r="E51" s="256">
        <v>172436.785</v>
      </c>
      <c r="I51" s="255"/>
    </row>
    <row r="52" spans="1:9" x14ac:dyDescent="0.25">
      <c r="A52" s="220">
        <v>1</v>
      </c>
      <c r="B52" s="167" t="s">
        <v>17</v>
      </c>
      <c r="C52" s="56"/>
      <c r="D52" s="216">
        <f>[10]Sheet4!B50</f>
        <v>1</v>
      </c>
      <c r="E52" s="256">
        <v>124822.85999999999</v>
      </c>
      <c r="I52" s="255"/>
    </row>
    <row r="53" spans="1:9" x14ac:dyDescent="0.25">
      <c r="A53" s="220">
        <v>2</v>
      </c>
      <c r="B53" s="167" t="s">
        <v>35</v>
      </c>
      <c r="C53" s="56"/>
      <c r="D53" s="216">
        <f>[10]Sheet4!B51</f>
        <v>1</v>
      </c>
      <c r="E53" s="256">
        <v>153724</v>
      </c>
      <c r="I53" s="255"/>
    </row>
    <row r="54" spans="1:9" x14ac:dyDescent="0.25">
      <c r="A54" s="220">
        <v>3</v>
      </c>
      <c r="B54" s="167" t="s">
        <v>48</v>
      </c>
      <c r="C54" s="56"/>
      <c r="D54" s="216">
        <f>[10]Sheet4!B52</f>
        <v>1</v>
      </c>
      <c r="E54" s="256">
        <v>207939.50320000001</v>
      </c>
      <c r="I54" s="255"/>
    </row>
    <row r="55" spans="1:9" x14ac:dyDescent="0.25">
      <c r="A55" s="220">
        <v>3</v>
      </c>
      <c r="B55" s="167" t="s">
        <v>49</v>
      </c>
      <c r="C55" s="56"/>
      <c r="D55" s="216">
        <f>[10]Sheet4!B53</f>
        <v>1</v>
      </c>
      <c r="E55" s="256">
        <v>200769.34319999997</v>
      </c>
      <c r="I55" s="255"/>
    </row>
    <row r="56" spans="1:9" x14ac:dyDescent="0.25">
      <c r="A56" s="220">
        <v>3</v>
      </c>
      <c r="B56" s="167" t="s">
        <v>50</v>
      </c>
      <c r="C56" s="56"/>
      <c r="D56" s="216">
        <f>[10]Sheet4!B54</f>
        <v>1</v>
      </c>
      <c r="E56" s="256">
        <v>207212.73</v>
      </c>
      <c r="I56" s="255"/>
    </row>
    <row r="57" spans="1:9" x14ac:dyDescent="0.25">
      <c r="A57" s="220">
        <v>2</v>
      </c>
      <c r="B57" s="167" t="s">
        <v>36</v>
      </c>
      <c r="C57" s="56"/>
      <c r="D57" s="216">
        <f>[10]Sheet4!B55</f>
        <v>1</v>
      </c>
      <c r="E57" s="256">
        <v>186010.76</v>
      </c>
      <c r="I57" s="255"/>
    </row>
    <row r="58" spans="1:9" x14ac:dyDescent="0.25">
      <c r="A58" s="220">
        <v>2</v>
      </c>
      <c r="B58" s="167" t="s">
        <v>37</v>
      </c>
      <c r="C58" s="56"/>
      <c r="D58" s="216">
        <f>[10]Sheet4!B56</f>
        <v>1</v>
      </c>
      <c r="E58" s="256">
        <v>178467</v>
      </c>
      <c r="I58" s="255"/>
    </row>
    <row r="59" spans="1:9" x14ac:dyDescent="0.25">
      <c r="A59" s="220">
        <v>1</v>
      </c>
      <c r="B59" s="167" t="s">
        <v>18</v>
      </c>
      <c r="C59" s="56"/>
      <c r="D59" s="216">
        <f>[10]Sheet4!B57</f>
        <v>1</v>
      </c>
      <c r="E59" s="256">
        <v>126736</v>
      </c>
      <c r="I59" s="255"/>
    </row>
    <row r="60" spans="1:9" x14ac:dyDescent="0.25">
      <c r="A60" s="220">
        <v>3</v>
      </c>
      <c r="B60" s="167" t="s">
        <v>51</v>
      </c>
      <c r="C60" s="56"/>
      <c r="D60" s="216">
        <f>[10]Sheet4!B58</f>
        <v>1</v>
      </c>
      <c r="E60" s="256">
        <v>202041.14400000003</v>
      </c>
      <c r="I60" s="255"/>
    </row>
    <row r="61" spans="1:9" x14ac:dyDescent="0.25">
      <c r="A61" s="220">
        <v>2</v>
      </c>
      <c r="B61" s="167" t="s">
        <v>38</v>
      </c>
      <c r="C61" s="56"/>
      <c r="D61" s="216">
        <f>[10]Sheet4!B59</f>
        <v>1</v>
      </c>
      <c r="E61" s="256">
        <v>160000</v>
      </c>
      <c r="I61" s="255"/>
    </row>
    <row r="62" spans="1:9" x14ac:dyDescent="0.25">
      <c r="A62" s="220">
        <v>3</v>
      </c>
      <c r="B62" s="167" t="s">
        <v>52</v>
      </c>
      <c r="C62" s="56"/>
      <c r="D62" s="216">
        <f>[10]Sheet4!B60</f>
        <v>1</v>
      </c>
      <c r="E62" s="256">
        <v>240923.07</v>
      </c>
      <c r="I62" s="255"/>
    </row>
    <row r="63" spans="1:9" x14ac:dyDescent="0.25">
      <c r="A63" s="220">
        <v>2</v>
      </c>
      <c r="B63" s="167" t="s">
        <v>39</v>
      </c>
      <c r="C63" s="56"/>
      <c r="D63" s="216">
        <f>[10]Sheet4!B61</f>
        <v>1</v>
      </c>
      <c r="E63" s="256">
        <v>216008</v>
      </c>
      <c r="I63" s="255"/>
    </row>
    <row r="64" spans="1:9" x14ac:dyDescent="0.25">
      <c r="A64" s="220">
        <v>2</v>
      </c>
      <c r="B64" s="167" t="s">
        <v>40</v>
      </c>
      <c r="C64" s="56"/>
      <c r="D64" s="216">
        <f>[10]Sheet4!B62</f>
        <v>1</v>
      </c>
      <c r="E64" s="256">
        <v>181758</v>
      </c>
      <c r="I64" s="255"/>
    </row>
    <row r="65" spans="1:5" s="56" customFormat="1" ht="15.75" thickBot="1" x14ac:dyDescent="0.3">
      <c r="A65" s="214"/>
      <c r="B65" s="217" t="s">
        <v>175</v>
      </c>
      <c r="D65" s="218">
        <f>SUM(D7:D64)</f>
        <v>57.5</v>
      </c>
      <c r="E65" s="219">
        <v>10994806.672153205</v>
      </c>
    </row>
    <row r="66" spans="1:5" ht="15.75" thickTop="1" x14ac:dyDescent="0.25">
      <c r="C66" s="56"/>
    </row>
    <row r="67" spans="1:5" x14ac:dyDescent="0.25">
      <c r="C67" s="56"/>
    </row>
    <row r="68" spans="1:5" x14ac:dyDescent="0.25">
      <c r="C68" s="56"/>
    </row>
    <row r="69" spans="1:5" x14ac:dyDescent="0.25">
      <c r="C69" s="56"/>
    </row>
    <row r="70" spans="1:5" x14ac:dyDescent="0.25">
      <c r="C70" s="56"/>
    </row>
    <row r="71" spans="1:5" x14ac:dyDescent="0.25">
      <c r="C71" s="56"/>
    </row>
    <row r="72" spans="1:5" x14ac:dyDescent="0.25">
      <c r="C72" s="56"/>
    </row>
    <row r="73" spans="1:5" x14ac:dyDescent="0.25">
      <c r="C73" s="56"/>
    </row>
  </sheetData>
  <mergeCells count="13">
    <mergeCell ref="G7:G8"/>
    <mergeCell ref="H7:H8"/>
    <mergeCell ref="D4:E4"/>
    <mergeCell ref="A5:A6"/>
    <mergeCell ref="B5:B6"/>
    <mergeCell ref="G5:G6"/>
    <mergeCell ref="H5:H6"/>
    <mergeCell ref="G9:G10"/>
    <mergeCell ref="H9:H10"/>
    <mergeCell ref="G11:G12"/>
    <mergeCell ref="H11:H12"/>
    <mergeCell ref="G13:G14"/>
    <mergeCell ref="H13:H14"/>
  </mergeCells>
  <printOptions horizontalCentered="1"/>
  <pageMargins left="0.5" right="0.5" top="0.5" bottom="0.5" header="0.3" footer="0.3"/>
  <pageSetup scale="74"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README</vt:lpstr>
      <vt:lpstr>WF Need</vt:lpstr>
      <vt:lpstr>BLS</vt:lpstr>
      <vt:lpstr>RAS</vt:lpstr>
      <vt:lpstr>AVG RAS salary</vt:lpstr>
      <vt:lpstr>FTE Allotment Factor</vt:lpstr>
      <vt:lpstr>Program 10</vt:lpstr>
      <vt:lpstr>Program 90</vt:lpstr>
      <vt:lpstr>CEO Salary</vt:lpstr>
      <vt:lpstr>OE&amp;E by Cluster</vt:lpstr>
      <vt:lpstr>AB1058</vt:lpstr>
      <vt:lpstr>Floor Adjustment</vt:lpstr>
      <vt:lpstr>Floors</vt:lpstr>
      <vt:lpstr>SUMMARY</vt:lpstr>
      <vt:lpstr>RAS!_GoBack</vt:lpstr>
      <vt:lpstr>'AVG RAS salary'!Print_Area</vt:lpstr>
      <vt:lpstr>BLS!Print_Area</vt:lpstr>
      <vt:lpstr>'Floor Adjustment'!Print_Area</vt:lpstr>
      <vt:lpstr>Floors!Print_Area</vt:lpstr>
      <vt:lpstr>'FTE Allotment Factor'!Print_Area</vt:lpstr>
      <vt:lpstr>RAS!Print_Area</vt:lpstr>
      <vt:lpstr>'WF Need'!Print_Area</vt:lpstr>
      <vt:lpstr>'Floor Adjustment'!Print_Titles</vt:lpstr>
      <vt:lpstr>'FTE Allotment Factor'!Print_Titles</vt:lpstr>
      <vt:lpstr>'WF Need'!Print_Titles</vt:lpstr>
    </vt:vector>
  </TitlesOfParts>
  <Company>Administrative Office of the Courts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DMacLeod</dc:creator>
  <cp:lastModifiedBy>Allan, Michele</cp:lastModifiedBy>
  <cp:lastPrinted>2018-05-30T16:39:51Z</cp:lastPrinted>
  <dcterms:created xsi:type="dcterms:W3CDTF">2012-06-26T18:06:24Z</dcterms:created>
  <dcterms:modified xsi:type="dcterms:W3CDTF">2021-07-09T16:34:04Z</dcterms:modified>
</cp:coreProperties>
</file>